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Athlete" sheetId="1" r:id="rId1"/>
  </sheets>
  <calcPr calcId="125725"/>
</workbook>
</file>

<file path=xl/calcChain.xml><?xml version="1.0" encoding="utf-8"?>
<calcChain xmlns="http://schemas.openxmlformats.org/spreadsheetml/2006/main">
  <c r="B238" i="1"/>
  <c r="B2678"/>
  <c r="B1143"/>
  <c r="B2352"/>
  <c r="B735"/>
  <c r="B824"/>
  <c r="B1318"/>
  <c r="B860"/>
  <c r="B2109"/>
  <c r="B1302"/>
  <c r="B1357"/>
  <c r="B1646"/>
  <c r="B69"/>
  <c r="B1073"/>
  <c r="B922"/>
  <c r="B1040"/>
  <c r="B260"/>
  <c r="B239"/>
  <c r="B1800"/>
  <c r="B380"/>
  <c r="B1629"/>
  <c r="B1074"/>
  <c r="B1681"/>
  <c r="B1396"/>
  <c r="B2473"/>
  <c r="B1331"/>
  <c r="B2449"/>
  <c r="B381"/>
  <c r="B1323"/>
  <c r="B2495"/>
  <c r="B2607"/>
  <c r="B1564"/>
  <c r="B1552"/>
  <c r="B1761"/>
  <c r="B121"/>
  <c r="B197"/>
  <c r="B457"/>
  <c r="B50"/>
  <c r="B1041"/>
  <c r="B382"/>
  <c r="B789"/>
  <c r="B2626"/>
  <c r="B2703"/>
  <c r="B2188"/>
  <c r="B2627"/>
  <c r="B2012"/>
  <c r="B523"/>
  <c r="B1762"/>
  <c r="B2189"/>
  <c r="B1123"/>
  <c r="B586"/>
  <c r="B615"/>
  <c r="B2496"/>
  <c r="B2579"/>
  <c r="B861"/>
  <c r="B923"/>
  <c r="B1332"/>
  <c r="B1801"/>
  <c r="B303"/>
  <c r="B825"/>
  <c r="B205"/>
  <c r="B1635"/>
  <c r="B2110"/>
  <c r="B2532"/>
  <c r="B1980"/>
  <c r="B524"/>
  <c r="B193"/>
  <c r="B2179"/>
  <c r="B383"/>
  <c r="B1215"/>
  <c r="B354"/>
  <c r="B1960"/>
  <c r="B2474"/>
  <c r="B587"/>
  <c r="B2628"/>
  <c r="B2619"/>
  <c r="B1625"/>
  <c r="B1152"/>
  <c r="B1233"/>
  <c r="B1013"/>
  <c r="B588"/>
  <c r="B2099"/>
  <c r="B2570"/>
  <c r="B2205"/>
  <c r="B2032"/>
  <c r="B1075"/>
  <c r="B464"/>
  <c r="B1234"/>
  <c r="B1346"/>
  <c r="B107"/>
  <c r="B61"/>
  <c r="B639"/>
  <c r="B897"/>
  <c r="B2603"/>
  <c r="B736"/>
  <c r="B1397"/>
  <c r="B1842"/>
  <c r="B589"/>
  <c r="B1802"/>
  <c r="B525"/>
  <c r="B640"/>
  <c r="B1916"/>
  <c r="B641"/>
  <c r="B590"/>
  <c r="B1803"/>
  <c r="B1428"/>
  <c r="B325"/>
  <c r="B616"/>
  <c r="B183"/>
  <c r="B1439"/>
  <c r="B2580"/>
  <c r="B1468"/>
  <c r="B1440"/>
  <c r="B2328"/>
  <c r="B1804"/>
  <c r="B1716"/>
  <c r="B1935"/>
  <c r="B134"/>
  <c r="B1374"/>
  <c r="B1014"/>
  <c r="B371"/>
  <c r="B202"/>
  <c r="B384"/>
  <c r="B1375"/>
  <c r="B790"/>
  <c r="B1429"/>
  <c r="B2666"/>
  <c r="B97"/>
  <c r="B1943"/>
  <c r="B122"/>
  <c r="B2022"/>
  <c r="B2382"/>
  <c r="B2475"/>
  <c r="B1843"/>
  <c r="B2206"/>
  <c r="B826"/>
  <c r="B1565"/>
  <c r="B2155"/>
  <c r="B499"/>
  <c r="B2497"/>
  <c r="B526"/>
  <c r="B1873"/>
  <c r="B642"/>
  <c r="B1580"/>
  <c r="B2092"/>
  <c r="B261"/>
  <c r="B870"/>
  <c r="B1936"/>
  <c r="B591"/>
  <c r="B2704"/>
  <c r="B1076"/>
  <c r="B1663"/>
  <c r="B2361"/>
  <c r="B233"/>
  <c r="B2608"/>
  <c r="B2316"/>
  <c r="B527"/>
  <c r="B1216"/>
  <c r="B2548"/>
  <c r="B737"/>
  <c r="B135"/>
  <c r="B458"/>
  <c r="B1751"/>
  <c r="B1358"/>
  <c r="B2556"/>
  <c r="B2549"/>
  <c r="B704"/>
  <c r="B705"/>
  <c r="B2701"/>
  <c r="B1958"/>
  <c r="B528"/>
  <c r="B1588"/>
  <c r="B1015"/>
  <c r="B1347"/>
  <c r="B994"/>
  <c r="B2122"/>
  <c r="B1285"/>
  <c r="B1616"/>
  <c r="B1589"/>
  <c r="B2041"/>
  <c r="B1398"/>
  <c r="B480"/>
  <c r="B2450"/>
  <c r="B326"/>
  <c r="B1930"/>
  <c r="B1303"/>
  <c r="B2383"/>
  <c r="B2571"/>
  <c r="B1259"/>
  <c r="B1077"/>
  <c r="B1752"/>
  <c r="B1805"/>
  <c r="B1260"/>
  <c r="B1132"/>
  <c r="B617"/>
  <c r="B1078"/>
  <c r="B1201"/>
  <c r="B54"/>
  <c r="B1487"/>
  <c r="B1844"/>
  <c r="B1192"/>
  <c r="B2100"/>
  <c r="B1786"/>
  <c r="B6"/>
  <c r="B2163"/>
  <c r="B2476"/>
  <c r="B2207"/>
  <c r="B1806"/>
  <c r="B1717"/>
  <c r="B1696"/>
  <c r="B2340"/>
  <c r="B766"/>
  <c r="B961"/>
  <c r="B1266"/>
  <c r="B1016"/>
  <c r="B1079"/>
  <c r="B767"/>
  <c r="B2384"/>
  <c r="B1917"/>
  <c r="B985"/>
  <c r="B111"/>
  <c r="B1144"/>
  <c r="B90"/>
  <c r="B1673"/>
  <c r="B1399"/>
  <c r="B1934"/>
  <c r="B1664"/>
  <c r="B2273"/>
  <c r="B509"/>
  <c r="B234"/>
  <c r="B157"/>
  <c r="B98"/>
  <c r="B2324"/>
  <c r="B962"/>
  <c r="B311"/>
  <c r="B912"/>
  <c r="B2042"/>
  <c r="B1505"/>
  <c r="B1787"/>
  <c r="B7"/>
  <c r="B1763"/>
  <c r="B1973"/>
  <c r="B1697"/>
  <c r="B1304"/>
  <c r="B1165"/>
  <c r="B2101"/>
  <c r="B136"/>
  <c r="B738"/>
  <c r="B411"/>
  <c r="B1807"/>
  <c r="B1202"/>
  <c r="B581"/>
  <c r="B1127"/>
  <c r="B262"/>
  <c r="B510"/>
  <c r="B2063"/>
  <c r="B1581"/>
  <c r="B2538"/>
  <c r="B263"/>
  <c r="B2274"/>
  <c r="B1376"/>
  <c r="B2711"/>
  <c r="B1682"/>
  <c r="B643"/>
  <c r="B1647"/>
  <c r="B1348"/>
  <c r="B1166"/>
  <c r="B898"/>
  <c r="B355"/>
  <c r="B1535"/>
  <c r="B592"/>
  <c r="B593"/>
  <c r="B2581"/>
  <c r="B26"/>
  <c r="B1461"/>
  <c r="B1080"/>
  <c r="B913"/>
  <c r="B1081"/>
  <c r="B327"/>
  <c r="B2043"/>
  <c r="B1217"/>
  <c r="B1845"/>
  <c r="B1017"/>
  <c r="B644"/>
  <c r="B645"/>
  <c r="B27"/>
  <c r="B2539"/>
  <c r="B1874"/>
  <c r="B264"/>
  <c r="B963"/>
  <c r="B594"/>
  <c r="B2341"/>
  <c r="B2111"/>
  <c r="B1180"/>
  <c r="B995"/>
  <c r="B2275"/>
  <c r="B1018"/>
  <c r="B1377"/>
  <c r="B706"/>
  <c r="B1506"/>
  <c r="B1005"/>
  <c r="B2436"/>
  <c r="B1961"/>
  <c r="B827"/>
  <c r="B184"/>
  <c r="B924"/>
  <c r="B1235"/>
  <c r="B595"/>
  <c r="B511"/>
  <c r="B449"/>
  <c r="B2437"/>
  <c r="B2033"/>
  <c r="B2498"/>
  <c r="B1315"/>
  <c r="B1400"/>
  <c r="B2410"/>
  <c r="B2385"/>
  <c r="B1962"/>
  <c r="B2317"/>
  <c r="B791"/>
  <c r="B2499"/>
  <c r="B291"/>
  <c r="B1547"/>
  <c r="B828"/>
  <c r="B2582"/>
  <c r="B2044"/>
  <c r="B1401"/>
  <c r="B941"/>
  <c r="B2629"/>
  <c r="B2276"/>
  <c r="B2277"/>
  <c r="B465"/>
  <c r="B1987"/>
  <c r="B1349"/>
  <c r="B218"/>
  <c r="B345"/>
  <c r="B854"/>
  <c r="B1333"/>
  <c r="B1248"/>
  <c r="B2045"/>
  <c r="B185"/>
  <c r="B829"/>
  <c r="B488"/>
  <c r="B2278"/>
  <c r="B1251"/>
  <c r="B206"/>
  <c r="B2190"/>
  <c r="B1808"/>
  <c r="B1875"/>
  <c r="B1082"/>
  <c r="B996"/>
  <c r="B108"/>
  <c r="B2353"/>
  <c r="B105"/>
  <c r="B1083"/>
  <c r="B37"/>
  <c r="B2112"/>
  <c r="B2093"/>
  <c r="B385"/>
  <c r="B1286"/>
  <c r="B2660"/>
  <c r="B1465"/>
  <c r="B1287"/>
  <c r="B1566"/>
  <c r="B739"/>
  <c r="B1630"/>
  <c r="B1846"/>
  <c r="B158"/>
  <c r="B2712"/>
  <c r="B914"/>
  <c r="B830"/>
  <c r="B2069"/>
  <c r="B292"/>
  <c r="B2500"/>
  <c r="B2397"/>
  <c r="B1764"/>
  <c r="B2501"/>
  <c r="B372"/>
  <c r="B1267"/>
  <c r="B2208"/>
  <c r="B512"/>
  <c r="B1918"/>
  <c r="B997"/>
  <c r="B1911"/>
  <c r="B1236"/>
  <c r="B885"/>
  <c r="B1084"/>
  <c r="B2102"/>
  <c r="B886"/>
  <c r="B1543"/>
  <c r="B22"/>
  <c r="B1288"/>
  <c r="B2164"/>
  <c r="B328"/>
  <c r="B329"/>
  <c r="B646"/>
  <c r="B2131"/>
  <c r="B697"/>
  <c r="B1511"/>
  <c r="B1218"/>
  <c r="B304"/>
  <c r="B513"/>
  <c r="B2005"/>
  <c r="B2398"/>
  <c r="B1219"/>
  <c r="B1718"/>
  <c r="B240"/>
  <c r="B16"/>
  <c r="B91"/>
  <c r="B500"/>
  <c r="B489"/>
  <c r="B1319"/>
  <c r="B2386"/>
  <c r="B188"/>
  <c r="B2156"/>
  <c r="B1919"/>
  <c r="B2572"/>
  <c r="B647"/>
  <c r="B648"/>
  <c r="B582"/>
  <c r="B596"/>
  <c r="B566"/>
  <c r="B2399"/>
  <c r="B1655"/>
  <c r="B1537"/>
  <c r="B1719"/>
  <c r="B481"/>
  <c r="B1441"/>
  <c r="B1220"/>
  <c r="B2502"/>
  <c r="B1378"/>
  <c r="B1720"/>
  <c r="B2165"/>
  <c r="B2123"/>
  <c r="B2503"/>
  <c r="B2333"/>
  <c r="B1203"/>
  <c r="B1988"/>
  <c r="B2143"/>
  <c r="B831"/>
  <c r="B1402"/>
  <c r="B1981"/>
  <c r="B2238"/>
  <c r="B2583"/>
  <c r="B942"/>
  <c r="B189"/>
  <c r="B2451"/>
  <c r="B373"/>
  <c r="B1133"/>
  <c r="B899"/>
  <c r="B2070"/>
  <c r="B1289"/>
  <c r="B346"/>
  <c r="B998"/>
  <c r="B1488"/>
  <c r="B900"/>
  <c r="B1876"/>
  <c r="B347"/>
  <c r="B1442"/>
  <c r="B2504"/>
  <c r="B2209"/>
  <c r="B943"/>
  <c r="B1268"/>
  <c r="B1481"/>
  <c r="B2006"/>
  <c r="B755"/>
  <c r="B514"/>
  <c r="B241"/>
  <c r="B2249"/>
  <c r="B2166"/>
  <c r="B529"/>
  <c r="B832"/>
  <c r="B386"/>
  <c r="B1085"/>
  <c r="B1379"/>
  <c r="B649"/>
  <c r="B1430"/>
  <c r="B1042"/>
  <c r="B2540"/>
  <c r="B471"/>
  <c r="B1019"/>
  <c r="B2376"/>
  <c r="B2452"/>
  <c r="B1512"/>
  <c r="B2505"/>
  <c r="B1043"/>
  <c r="B725"/>
  <c r="B1636"/>
  <c r="B1020"/>
  <c r="B1674"/>
  <c r="B463"/>
  <c r="B309"/>
  <c r="B137"/>
  <c r="B1877"/>
  <c r="B740"/>
  <c r="B8"/>
  <c r="B1963"/>
  <c r="B1086"/>
  <c r="B1221"/>
  <c r="B2167"/>
  <c r="B2713"/>
  <c r="B2034"/>
  <c r="B45"/>
  <c r="B2411"/>
  <c r="B1006"/>
  <c r="B597"/>
  <c r="B62"/>
  <c r="B833"/>
  <c r="B530"/>
  <c r="B1044"/>
  <c r="B2168"/>
  <c r="B650"/>
  <c r="B531"/>
  <c r="B2279"/>
  <c r="B1045"/>
  <c r="B1847"/>
  <c r="B138"/>
  <c r="B2630"/>
  <c r="B1848"/>
  <c r="B2280"/>
  <c r="B356"/>
  <c r="B2210"/>
  <c r="B1989"/>
  <c r="B850"/>
  <c r="B707"/>
  <c r="B2688"/>
  <c r="B2035"/>
  <c r="B768"/>
  <c r="B2377"/>
  <c r="B1964"/>
  <c r="B9"/>
  <c r="B2609"/>
  <c r="B598"/>
  <c r="B1269"/>
  <c r="B834"/>
  <c r="B1237"/>
  <c r="B112"/>
  <c r="B2169"/>
  <c r="B599"/>
  <c r="B565"/>
  <c r="B293"/>
  <c r="B1334"/>
  <c r="B887"/>
  <c r="B171"/>
  <c r="B466"/>
  <c r="B2709"/>
  <c r="B1443"/>
  <c r="B2082"/>
  <c r="B1222"/>
  <c r="B1087"/>
  <c r="B1403"/>
  <c r="B198"/>
  <c r="B1878"/>
  <c r="B1567"/>
  <c r="B38"/>
  <c r="B1585"/>
  <c r="B1698"/>
  <c r="B583"/>
  <c r="B2714"/>
  <c r="B567"/>
  <c r="B1667"/>
  <c r="B515"/>
  <c r="B1548"/>
  <c r="B1925"/>
  <c r="B242"/>
  <c r="B219"/>
  <c r="B999"/>
  <c r="B139"/>
  <c r="B1937"/>
  <c r="B1021"/>
  <c r="B600"/>
  <c r="B2584"/>
  <c r="B1404"/>
  <c r="B1849"/>
  <c r="B698"/>
  <c r="B2306"/>
  <c r="B1699"/>
  <c r="B2354"/>
  <c r="B618"/>
  <c r="B2506"/>
  <c r="B2507"/>
  <c r="B2715"/>
  <c r="B1167"/>
  <c r="B651"/>
  <c r="B1046"/>
  <c r="B619"/>
  <c r="B1965"/>
  <c r="B792"/>
  <c r="B532"/>
  <c r="B2144"/>
  <c r="B1966"/>
  <c r="B862"/>
  <c r="B863"/>
  <c r="B39"/>
  <c r="B769"/>
  <c r="B1252"/>
  <c r="B1088"/>
  <c r="B1809"/>
  <c r="B2412"/>
  <c r="B770"/>
  <c r="B533"/>
  <c r="B652"/>
  <c r="B1089"/>
  <c r="B357"/>
  <c r="B1007"/>
  <c r="B2362"/>
  <c r="B1586"/>
  <c r="B1431"/>
  <c r="B1432"/>
  <c r="B420"/>
  <c r="B2"/>
  <c r="B2325"/>
  <c r="B123"/>
  <c r="B1850"/>
  <c r="B2413"/>
  <c r="B1810"/>
  <c r="B708"/>
  <c r="B1008"/>
  <c r="B348"/>
  <c r="B207"/>
  <c r="B2728"/>
  <c r="B2648"/>
  <c r="B40"/>
  <c r="B1851"/>
  <c r="B2557"/>
  <c r="B203"/>
  <c r="B159"/>
  <c r="B653"/>
  <c r="B2363"/>
  <c r="B699"/>
  <c r="B70"/>
  <c r="B771"/>
  <c r="B756"/>
  <c r="B2260"/>
  <c r="B305"/>
  <c r="B2561"/>
  <c r="B1047"/>
  <c r="B654"/>
  <c r="B1494"/>
  <c r="B849"/>
  <c r="B871"/>
  <c r="B655"/>
  <c r="B1479"/>
  <c r="B482"/>
  <c r="B153"/>
  <c r="B1090"/>
  <c r="B330"/>
  <c r="B1577"/>
  <c r="B2281"/>
  <c r="B1359"/>
  <c r="B1700"/>
  <c r="B2453"/>
  <c r="B199"/>
  <c r="B726"/>
  <c r="B1469"/>
  <c r="B2132"/>
  <c r="B1380"/>
  <c r="B312"/>
  <c r="B2227"/>
  <c r="B1022"/>
  <c r="B140"/>
  <c r="B2585"/>
  <c r="B2562"/>
  <c r="B2508"/>
  <c r="B177"/>
  <c r="B421"/>
  <c r="B964"/>
  <c r="B620"/>
  <c r="B1405"/>
  <c r="B1879"/>
  <c r="B986"/>
  <c r="B601"/>
  <c r="B109"/>
  <c r="B2645"/>
  <c r="B864"/>
  <c r="B2228"/>
  <c r="B2613"/>
  <c r="B2414"/>
  <c r="B1880"/>
  <c r="B2364"/>
  <c r="B696"/>
  <c r="B1360"/>
  <c r="B1701"/>
  <c r="B1470"/>
  <c r="B2729"/>
  <c r="B1852"/>
  <c r="B2415"/>
  <c r="B2250"/>
  <c r="B656"/>
  <c r="B793"/>
  <c r="B657"/>
  <c r="B2046"/>
  <c r="B2064"/>
  <c r="B1501"/>
  <c r="B1335"/>
  <c r="B772"/>
  <c r="B2365"/>
  <c r="B1765"/>
  <c r="B794"/>
  <c r="B1721"/>
  <c r="B1091"/>
  <c r="B1048"/>
  <c r="B1982"/>
  <c r="B2387"/>
  <c r="B2036"/>
  <c r="B1931"/>
  <c r="B2586"/>
  <c r="B1361"/>
  <c r="B2550"/>
  <c r="B2375"/>
  <c r="B141"/>
  <c r="B2631"/>
  <c r="B1350"/>
  <c r="B1549"/>
  <c r="B2551"/>
  <c r="B1668"/>
  <c r="B709"/>
  <c r="B795"/>
  <c r="B331"/>
  <c r="B17"/>
  <c r="B10"/>
  <c r="B422"/>
  <c r="B124"/>
  <c r="B2573"/>
  <c r="B965"/>
  <c r="B2076"/>
  <c r="B835"/>
  <c r="B2047"/>
  <c r="B286"/>
  <c r="B287"/>
  <c r="B2574"/>
  <c r="B944"/>
  <c r="B2477"/>
  <c r="B2454"/>
  <c r="B741"/>
  <c r="B2077"/>
  <c r="B727"/>
  <c r="B1766"/>
  <c r="B1381"/>
  <c r="B1000"/>
  <c r="B1489"/>
  <c r="B2124"/>
  <c r="B387"/>
  <c r="B658"/>
  <c r="B2689"/>
  <c r="B621"/>
  <c r="B1049"/>
  <c r="B1324"/>
  <c r="B915"/>
  <c r="B490"/>
  <c r="B298"/>
  <c r="B872"/>
  <c r="B925"/>
  <c r="B1767"/>
  <c r="B1023"/>
  <c r="B1951"/>
  <c r="B2455"/>
  <c r="B901"/>
  <c r="B2587"/>
  <c r="B265"/>
  <c r="B1290"/>
  <c r="B2282"/>
  <c r="B2191"/>
  <c r="B2388"/>
  <c r="B2125"/>
  <c r="B1181"/>
  <c r="B1811"/>
  <c r="B796"/>
  <c r="B622"/>
  <c r="B659"/>
  <c r="B623"/>
  <c r="B1853"/>
  <c r="B2588"/>
  <c r="B2342"/>
  <c r="B2192"/>
  <c r="B773"/>
  <c r="B2343"/>
  <c r="B836"/>
  <c r="B1120"/>
  <c r="B1983"/>
  <c r="B728"/>
  <c r="B2575"/>
  <c r="B1881"/>
  <c r="B1768"/>
  <c r="B2692"/>
  <c r="B194"/>
  <c r="B660"/>
  <c r="B1648"/>
  <c r="B916"/>
  <c r="B534"/>
  <c r="B1291"/>
  <c r="B1253"/>
  <c r="B710"/>
  <c r="B535"/>
  <c r="B2211"/>
  <c r="B2456"/>
  <c r="B2366"/>
  <c r="B2065"/>
  <c r="B501"/>
  <c r="B2457"/>
  <c r="B266"/>
  <c r="B495"/>
  <c r="B1947"/>
  <c r="B757"/>
  <c r="B536"/>
  <c r="B537"/>
  <c r="B2458"/>
  <c r="B2231"/>
  <c r="B945"/>
  <c r="B483"/>
  <c r="B2261"/>
  <c r="B1610"/>
  <c r="B1444"/>
  <c r="B2013"/>
  <c r="B2459"/>
  <c r="B1590"/>
  <c r="B220"/>
  <c r="B1182"/>
  <c r="B43"/>
  <c r="B215"/>
  <c r="B624"/>
  <c r="B1382"/>
  <c r="B299"/>
  <c r="B1050"/>
  <c r="B1254"/>
  <c r="B2478"/>
  <c r="B2509"/>
  <c r="B2589"/>
  <c r="B926"/>
  <c r="B1812"/>
  <c r="B2378"/>
  <c r="B661"/>
  <c r="B837"/>
  <c r="B2649"/>
  <c r="B2479"/>
  <c r="B2563"/>
  <c r="B1024"/>
  <c r="B1320"/>
  <c r="B1009"/>
  <c r="B388"/>
  <c r="B2700"/>
  <c r="B1463"/>
  <c r="B2620"/>
  <c r="B2438"/>
  <c r="B1788"/>
  <c r="B1507"/>
  <c r="B56"/>
  <c r="B797"/>
  <c r="B1051"/>
  <c r="B1631"/>
  <c r="B2193"/>
  <c r="B2187"/>
  <c r="B2068"/>
  <c r="B332"/>
  <c r="B2656"/>
  <c r="B2212"/>
  <c r="B1722"/>
  <c r="B742"/>
  <c r="B1723"/>
  <c r="B1724"/>
  <c r="B459"/>
  <c r="B1168"/>
  <c r="B1169"/>
  <c r="B2416"/>
  <c r="B1725"/>
  <c r="B2606"/>
  <c r="B1092"/>
  <c r="B888"/>
  <c r="B1974"/>
  <c r="B113"/>
  <c r="B889"/>
  <c r="B2145"/>
  <c r="B1882"/>
  <c r="B169"/>
  <c r="B208"/>
  <c r="B2113"/>
  <c r="B700"/>
  <c r="B538"/>
  <c r="B1336"/>
  <c r="B2531"/>
  <c r="B1093"/>
  <c r="B2693"/>
  <c r="B2213"/>
  <c r="B82"/>
  <c r="B1883"/>
  <c r="B1406"/>
  <c r="B1362"/>
  <c r="B2417"/>
  <c r="B333"/>
  <c r="B78"/>
  <c r="B1137"/>
  <c r="B1094"/>
  <c r="B186"/>
  <c r="B142"/>
  <c r="B209"/>
  <c r="B2095"/>
  <c r="B1337"/>
  <c r="B2146"/>
  <c r="B1490"/>
  <c r="B2510"/>
  <c r="B2180"/>
  <c r="B2251"/>
  <c r="B2576"/>
  <c r="B1445"/>
  <c r="B873"/>
  <c r="B200"/>
  <c r="B160"/>
  <c r="B1938"/>
  <c r="B1383"/>
  <c r="B966"/>
  <c r="B2533"/>
  <c r="B2007"/>
  <c r="B281"/>
  <c r="B625"/>
  <c r="B917"/>
  <c r="B851"/>
  <c r="B855"/>
  <c r="B1854"/>
  <c r="B2283"/>
  <c r="B28"/>
  <c r="B2157"/>
  <c r="B389"/>
  <c r="B423"/>
  <c r="B1813"/>
  <c r="B1884"/>
  <c r="B2229"/>
  <c r="B2230"/>
  <c r="B195"/>
  <c r="B1261"/>
  <c r="B1855"/>
  <c r="B2307"/>
  <c r="B1270"/>
  <c r="B1702"/>
  <c r="B539"/>
  <c r="B2252"/>
  <c r="B1271"/>
  <c r="B1312"/>
  <c r="B506"/>
  <c r="B18"/>
  <c r="B1025"/>
  <c r="B2133"/>
  <c r="B2389"/>
  <c r="B2344"/>
  <c r="B358"/>
  <c r="B1948"/>
  <c r="B568"/>
  <c r="B2418"/>
  <c r="B2345"/>
  <c r="B2329"/>
  <c r="B1351"/>
  <c r="B1789"/>
  <c r="B2170"/>
  <c r="B1026"/>
  <c r="B1407"/>
  <c r="B1550"/>
  <c r="B1544"/>
  <c r="B1591"/>
  <c r="B1814"/>
  <c r="B502"/>
  <c r="B29"/>
  <c r="B2367"/>
  <c r="B2400"/>
  <c r="B1967"/>
  <c r="B2089"/>
  <c r="B2253"/>
  <c r="B267"/>
  <c r="B2094"/>
  <c r="B2262"/>
  <c r="B1538"/>
  <c r="B967"/>
  <c r="B125"/>
  <c r="B927"/>
  <c r="B1363"/>
  <c r="B2181"/>
  <c r="B928"/>
  <c r="B902"/>
  <c r="B154"/>
  <c r="B235"/>
  <c r="B1990"/>
  <c r="B2368"/>
  <c r="B359"/>
  <c r="B1769"/>
  <c r="B315"/>
  <c r="B1272"/>
  <c r="B540"/>
  <c r="B2419"/>
  <c r="B541"/>
  <c r="B1138"/>
  <c r="B2369"/>
  <c r="B890"/>
  <c r="B317"/>
  <c r="B743"/>
  <c r="B2716"/>
  <c r="B1433"/>
  <c r="B1944"/>
  <c r="B2564"/>
  <c r="B2679"/>
  <c r="B1703"/>
  <c r="B1939"/>
  <c r="B1926"/>
  <c r="B1856"/>
  <c r="B1273"/>
  <c r="B1364"/>
  <c r="B73"/>
  <c r="B968"/>
  <c r="B1384"/>
  <c r="B1513"/>
  <c r="B1292"/>
  <c r="B2390"/>
  <c r="B711"/>
  <c r="B1482"/>
  <c r="B1857"/>
  <c r="B2008"/>
  <c r="B2048"/>
  <c r="B1274"/>
  <c r="B1920"/>
  <c r="B798"/>
  <c r="B569"/>
  <c r="B2460"/>
  <c r="B1316"/>
  <c r="B2590"/>
  <c r="B2009"/>
  <c r="B1027"/>
  <c r="B114"/>
  <c r="B1514"/>
  <c r="B1885"/>
  <c r="B2049"/>
  <c r="B1483"/>
  <c r="B1495"/>
  <c r="B2674"/>
  <c r="B918"/>
  <c r="B2284"/>
  <c r="B221"/>
  <c r="B1238"/>
  <c r="B1886"/>
  <c r="B2072"/>
  <c r="B475"/>
  <c r="B1352"/>
  <c r="B1365"/>
  <c r="B166"/>
  <c r="B424"/>
  <c r="B143"/>
  <c r="B472"/>
  <c r="B1519"/>
  <c r="B1193"/>
  <c r="B1028"/>
  <c r="B2114"/>
  <c r="B570"/>
  <c r="B390"/>
  <c r="B306"/>
  <c r="B1887"/>
  <c r="B2480"/>
  <c r="B55"/>
  <c r="B2115"/>
  <c r="B1726"/>
  <c r="B2675"/>
  <c r="B268"/>
  <c r="B2285"/>
  <c r="B1496"/>
  <c r="B2286"/>
  <c r="B2591"/>
  <c r="B1959"/>
  <c r="B19"/>
  <c r="B2481"/>
  <c r="B1183"/>
  <c r="B445"/>
  <c r="B168"/>
  <c r="B1968"/>
  <c r="B496"/>
  <c r="B1262"/>
  <c r="B799"/>
  <c r="B2694"/>
  <c r="B2661"/>
  <c r="B712"/>
  <c r="B1858"/>
  <c r="B2621"/>
  <c r="B2632"/>
  <c r="B929"/>
  <c r="B774"/>
  <c r="B1727"/>
  <c r="B1353"/>
  <c r="B2171"/>
  <c r="B1184"/>
  <c r="B1095"/>
  <c r="B2420"/>
  <c r="B1204"/>
  <c r="B115"/>
  <c r="B116"/>
  <c r="B1815"/>
  <c r="B1515"/>
  <c r="B2355"/>
  <c r="B1385"/>
  <c r="B2482"/>
  <c r="B1145"/>
  <c r="B1029"/>
  <c r="B1617"/>
  <c r="B1991"/>
  <c r="B2037"/>
  <c r="B269"/>
  <c r="B451"/>
  <c r="B1325"/>
  <c r="B442"/>
  <c r="B1665"/>
  <c r="B2078"/>
  <c r="B1275"/>
  <c r="B2134"/>
  <c r="B36"/>
  <c r="B2194"/>
  <c r="B2690"/>
  <c r="B1940"/>
  <c r="B3"/>
  <c r="B852"/>
  <c r="B930"/>
  <c r="B1239"/>
  <c r="B374"/>
  <c r="B542"/>
  <c r="B1728"/>
  <c r="B2461"/>
  <c r="B2511"/>
  <c r="B2116"/>
  <c r="B2512"/>
  <c r="B2088"/>
  <c r="B2254"/>
  <c r="B2717"/>
  <c r="B2014"/>
  <c r="B729"/>
  <c r="B730"/>
  <c r="B1888"/>
  <c r="B1992"/>
  <c r="B1770"/>
  <c r="B2718"/>
  <c r="B282"/>
  <c r="B63"/>
  <c r="B800"/>
  <c r="B1656"/>
  <c r="B1729"/>
  <c r="B2326"/>
  <c r="B1386"/>
  <c r="B1859"/>
  <c r="B1052"/>
  <c r="B173"/>
  <c r="B174"/>
  <c r="B801"/>
  <c r="B1889"/>
  <c r="B2038"/>
  <c r="B1263"/>
  <c r="B1516"/>
  <c r="B1030"/>
  <c r="B1408"/>
  <c r="B1153"/>
  <c r="B2541"/>
  <c r="B1240"/>
  <c r="B222"/>
  <c r="B484"/>
  <c r="B802"/>
  <c r="B256"/>
  <c r="B903"/>
  <c r="B152"/>
  <c r="B543"/>
  <c r="B216"/>
  <c r="B1860"/>
  <c r="B1993"/>
  <c r="B279"/>
  <c r="B2462"/>
  <c r="B2730"/>
  <c r="B1338"/>
  <c r="B803"/>
  <c r="B662"/>
  <c r="B1730"/>
  <c r="B2391"/>
  <c r="B1753"/>
  <c r="B804"/>
  <c r="B1553"/>
  <c r="B1816"/>
  <c r="B1520"/>
  <c r="B2592"/>
  <c r="B2650"/>
  <c r="B2614"/>
  <c r="B1704"/>
  <c r="B2103"/>
  <c r="B1276"/>
  <c r="B1241"/>
  <c r="B1053"/>
  <c r="B2558"/>
  <c r="B283"/>
  <c r="B360"/>
  <c r="B288"/>
  <c r="B1628"/>
  <c r="B2308"/>
  <c r="B334"/>
  <c r="B508"/>
  <c r="B1255"/>
  <c r="B2610"/>
  <c r="B1592"/>
  <c r="B2463"/>
  <c r="B2421"/>
  <c r="B2662"/>
  <c r="B2513"/>
  <c r="B2663"/>
  <c r="B931"/>
  <c r="B1890"/>
  <c r="B1891"/>
  <c r="B1054"/>
  <c r="B375"/>
  <c r="B1952"/>
  <c r="B2214"/>
  <c r="B1927"/>
  <c r="B602"/>
  <c r="B1194"/>
  <c r="B391"/>
  <c r="B1521"/>
  <c r="B2680"/>
  <c r="B2422"/>
  <c r="B1055"/>
  <c r="B491"/>
  <c r="B1502"/>
  <c r="B20"/>
  <c r="B1031"/>
  <c r="B2215"/>
  <c r="B1056"/>
  <c r="B1293"/>
  <c r="B2090"/>
  <c r="B663"/>
  <c r="B664"/>
  <c r="B838"/>
  <c r="B1484"/>
  <c r="B1497"/>
  <c r="B805"/>
  <c r="B806"/>
  <c r="B839"/>
  <c r="B1817"/>
  <c r="B243"/>
  <c r="B335"/>
  <c r="B1139"/>
  <c r="B1096"/>
  <c r="B2667"/>
  <c r="B349"/>
  <c r="B155"/>
  <c r="B320"/>
  <c r="B425"/>
  <c r="B2079"/>
  <c r="B2559"/>
  <c r="B1637"/>
  <c r="B1949"/>
  <c r="B2705"/>
  <c r="B1892"/>
  <c r="B665"/>
  <c r="B92"/>
  <c r="B23"/>
  <c r="B2287"/>
  <c r="B412"/>
  <c r="B1679"/>
  <c r="B1578"/>
  <c r="B1818"/>
  <c r="B1731"/>
  <c r="B2195"/>
  <c r="B919"/>
  <c r="B1446"/>
  <c r="B987"/>
  <c r="B1223"/>
  <c r="B2318"/>
  <c r="B571"/>
  <c r="B1125"/>
  <c r="B1893"/>
  <c r="B2719"/>
  <c r="B1894"/>
  <c r="B2330"/>
  <c r="B1593"/>
  <c r="B1984"/>
  <c r="B731"/>
  <c r="B744"/>
  <c r="B392"/>
  <c r="B83"/>
  <c r="B126"/>
  <c r="B2720"/>
  <c r="B244"/>
  <c r="B1475"/>
  <c r="B1771"/>
  <c r="B1666"/>
  <c r="B178"/>
  <c r="B245"/>
  <c r="B1057"/>
  <c r="B2565"/>
  <c r="B853"/>
  <c r="B246"/>
  <c r="B544"/>
  <c r="B1540"/>
  <c r="B2025"/>
  <c r="B2239"/>
  <c r="B1170"/>
  <c r="B516"/>
  <c r="B1387"/>
  <c r="B1447"/>
  <c r="B1339"/>
  <c r="B1587"/>
  <c r="B666"/>
  <c r="B1317"/>
  <c r="B313"/>
  <c r="B59"/>
  <c r="B2514"/>
  <c r="B1632"/>
  <c r="B1134"/>
  <c r="B2392"/>
  <c r="B1388"/>
  <c r="B545"/>
  <c r="B1097"/>
  <c r="B988"/>
  <c r="B874"/>
  <c r="B946"/>
  <c r="B1389"/>
  <c r="B1594"/>
  <c r="B2651"/>
  <c r="B1861"/>
  <c r="B376"/>
  <c r="B2566"/>
  <c r="B321"/>
  <c r="B1732"/>
  <c r="B904"/>
  <c r="B2652"/>
  <c r="B1205"/>
  <c r="B840"/>
  <c r="B947"/>
  <c r="B517"/>
  <c r="B856"/>
  <c r="B1539"/>
  <c r="B891"/>
  <c r="B79"/>
  <c r="B1554"/>
  <c r="B1819"/>
  <c r="B2288"/>
  <c r="B1242"/>
  <c r="B1249"/>
  <c r="B161"/>
  <c r="B1366"/>
  <c r="B80"/>
  <c r="B1895"/>
  <c r="B2147"/>
  <c r="B1921"/>
  <c r="B775"/>
  <c r="B892"/>
  <c r="B2216"/>
  <c r="B572"/>
  <c r="B144"/>
  <c r="B93"/>
  <c r="B1321"/>
  <c r="B745"/>
  <c r="B2263"/>
  <c r="B11"/>
  <c r="B2346"/>
  <c r="B2356"/>
  <c r="B2357"/>
  <c r="B1243"/>
  <c r="B1244"/>
  <c r="B1206"/>
  <c r="B776"/>
  <c r="B1582"/>
  <c r="B1733"/>
  <c r="B2464"/>
  <c r="B2083"/>
  <c r="B1367"/>
  <c r="B1705"/>
  <c r="B1185"/>
  <c r="B1690"/>
  <c r="B667"/>
  <c r="B1390"/>
  <c r="B426"/>
  <c r="B1277"/>
  <c r="B546"/>
  <c r="B732"/>
  <c r="B1171"/>
  <c r="B361"/>
  <c r="B1326"/>
  <c r="B518"/>
  <c r="B969"/>
  <c r="B668"/>
  <c r="B1922"/>
  <c r="B1896"/>
  <c r="B4"/>
  <c r="B2319"/>
  <c r="B307"/>
  <c r="B1691"/>
  <c r="B145"/>
  <c r="B1595"/>
  <c r="B626"/>
  <c r="B1862"/>
  <c r="B1522"/>
  <c r="B1897"/>
  <c r="B875"/>
  <c r="B2309"/>
  <c r="B1706"/>
  <c r="B1683"/>
  <c r="B2096"/>
  <c r="B1643"/>
  <c r="B2483"/>
  <c r="B47"/>
  <c r="B2240"/>
  <c r="B1498"/>
  <c r="B876"/>
  <c r="B2542"/>
  <c r="B547"/>
  <c r="B877"/>
  <c r="B2668"/>
  <c r="B2104"/>
  <c r="B746"/>
  <c r="B1098"/>
  <c r="B1649"/>
  <c r="B2289"/>
  <c r="B1707"/>
  <c r="B2706"/>
  <c r="B1772"/>
  <c r="B362"/>
  <c r="B1140"/>
  <c r="B2148"/>
  <c r="B1448"/>
  <c r="B322"/>
  <c r="B1211"/>
  <c r="B1820"/>
  <c r="B1256"/>
  <c r="B1545"/>
  <c r="B603"/>
  <c r="B747"/>
  <c r="B2117"/>
  <c r="B336"/>
  <c r="B337"/>
  <c r="B1790"/>
  <c r="B393"/>
  <c r="B1207"/>
  <c r="B94"/>
  <c r="B2172"/>
  <c r="B807"/>
  <c r="B701"/>
  <c r="B1354"/>
  <c r="B808"/>
  <c r="B2577"/>
  <c r="B460"/>
  <c r="B669"/>
  <c r="B2320"/>
  <c r="B413"/>
  <c r="B2633"/>
  <c r="B1994"/>
  <c r="B1995"/>
  <c r="B670"/>
  <c r="B548"/>
  <c r="B970"/>
  <c r="B1160"/>
  <c r="B414"/>
  <c r="B1010"/>
  <c r="B1898"/>
  <c r="B162"/>
  <c r="B1941"/>
  <c r="B549"/>
  <c r="B1311"/>
  <c r="B1449"/>
  <c r="B2484"/>
  <c r="B467"/>
  <c r="B1945"/>
  <c r="B1863"/>
  <c r="B2543"/>
  <c r="B584"/>
  <c r="B377"/>
  <c r="B1409"/>
  <c r="B519"/>
  <c r="B1523"/>
  <c r="B2290"/>
  <c r="B1708"/>
  <c r="B127"/>
  <c r="B1791"/>
  <c r="B1176"/>
  <c r="B1001"/>
  <c r="B809"/>
  <c r="B893"/>
  <c r="B74"/>
  <c r="B1186"/>
  <c r="B671"/>
  <c r="B1734"/>
  <c r="B878"/>
  <c r="B865"/>
  <c r="B2158"/>
  <c r="B672"/>
  <c r="B2066"/>
  <c r="B1410"/>
  <c r="B1411"/>
  <c r="B2182"/>
  <c r="B2149"/>
  <c r="B550"/>
  <c r="B989"/>
  <c r="B2255"/>
  <c r="B1555"/>
  <c r="B41"/>
  <c r="B1058"/>
  <c r="B2105"/>
  <c r="B473"/>
  <c r="B2310"/>
  <c r="B2534"/>
  <c r="B1059"/>
  <c r="B1294"/>
  <c r="B2439"/>
  <c r="B713"/>
  <c r="B2567"/>
  <c r="B1611"/>
  <c r="B2485"/>
  <c r="B223"/>
  <c r="B1773"/>
  <c r="B146"/>
  <c r="B363"/>
  <c r="B673"/>
  <c r="B2173"/>
  <c r="B2039"/>
  <c r="B1735"/>
  <c r="B2010"/>
  <c r="B1669"/>
  <c r="B427"/>
  <c r="B777"/>
  <c r="B224"/>
  <c r="B338"/>
  <c r="B170"/>
  <c r="B364"/>
  <c r="B2515"/>
  <c r="B81"/>
  <c r="B2535"/>
  <c r="B971"/>
  <c r="B1675"/>
  <c r="B1412"/>
  <c r="B1391"/>
  <c r="B428"/>
  <c r="B674"/>
  <c r="B2646"/>
  <c r="B1864"/>
  <c r="B1327"/>
  <c r="B2196"/>
  <c r="B225"/>
  <c r="B2050"/>
  <c r="B714"/>
  <c r="B1754"/>
  <c r="B156"/>
  <c r="B2721"/>
  <c r="B894"/>
  <c r="B172"/>
  <c r="B675"/>
  <c r="B30"/>
  <c r="B2370"/>
  <c r="B733"/>
  <c r="B573"/>
  <c r="B339"/>
  <c r="B340"/>
  <c r="B2722"/>
  <c r="B1295"/>
  <c r="B1224"/>
  <c r="B187"/>
  <c r="B1736"/>
  <c r="B429"/>
  <c r="B394"/>
  <c r="B676"/>
  <c r="B1413"/>
  <c r="B2080"/>
  <c r="B2516"/>
  <c r="B748"/>
  <c r="B2051"/>
  <c r="B2379"/>
  <c r="B677"/>
  <c r="B1737"/>
  <c r="B175"/>
  <c r="B948"/>
  <c r="B1596"/>
  <c r="B1296"/>
  <c r="B2118"/>
  <c r="B1177"/>
  <c r="B365"/>
  <c r="B341"/>
  <c r="B551"/>
  <c r="B2052"/>
  <c r="B395"/>
  <c r="B1297"/>
  <c r="B366"/>
  <c r="B2106"/>
  <c r="B2126"/>
  <c r="B2647"/>
  <c r="B2552"/>
  <c r="B715"/>
  <c r="B2486"/>
  <c r="B1355"/>
  <c r="B627"/>
  <c r="B1172"/>
  <c r="B2536"/>
  <c r="B1414"/>
  <c r="B1969"/>
  <c r="B104"/>
  <c r="B1975"/>
  <c r="B2553"/>
  <c r="B1368"/>
  <c r="B972"/>
  <c r="B1657"/>
  <c r="B932"/>
  <c r="B604"/>
  <c r="B1392"/>
  <c r="B552"/>
  <c r="B1328"/>
  <c r="B2241"/>
  <c r="B95"/>
  <c r="B2347"/>
  <c r="B396"/>
  <c r="B1597"/>
  <c r="B1680"/>
  <c r="B1953"/>
  <c r="B163"/>
  <c r="B2026"/>
  <c r="B2517"/>
  <c r="B2242"/>
  <c r="B1641"/>
  <c r="B1524"/>
  <c r="B2544"/>
  <c r="B492"/>
  <c r="B128"/>
  <c r="B247"/>
  <c r="B1195"/>
  <c r="B1568"/>
  <c r="B1369"/>
  <c r="B84"/>
  <c r="B468"/>
  <c r="B1225"/>
  <c r="B1415"/>
  <c r="B2593"/>
  <c r="B12"/>
  <c r="B257"/>
  <c r="B179"/>
  <c r="B2150"/>
  <c r="B2380"/>
  <c r="B1561"/>
  <c r="B2634"/>
  <c r="B397"/>
  <c r="B1121"/>
  <c r="B1913"/>
  <c r="B1503"/>
  <c r="B2331"/>
  <c r="B2243"/>
  <c r="B2232"/>
  <c r="B2174"/>
  <c r="B2487"/>
  <c r="B446"/>
  <c r="B1598"/>
  <c r="B1119"/>
  <c r="B574"/>
  <c r="B2371"/>
  <c r="B1650"/>
  <c r="B1738"/>
  <c r="B949"/>
  <c r="B1099"/>
  <c r="B503"/>
  <c r="B415"/>
  <c r="B1976"/>
  <c r="B416"/>
  <c r="B1562"/>
  <c r="B31"/>
  <c r="B1618"/>
  <c r="B398"/>
  <c r="B71"/>
  <c r="B2015"/>
  <c r="B2695"/>
  <c r="B973"/>
  <c r="B605"/>
  <c r="B1032"/>
  <c r="B2622"/>
  <c r="B1100"/>
  <c r="B1821"/>
  <c r="B2053"/>
  <c r="B628"/>
  <c r="B367"/>
  <c r="B2401"/>
  <c r="B1011"/>
  <c r="B1619"/>
  <c r="B1865"/>
  <c r="B1899"/>
  <c r="B716"/>
  <c r="B841"/>
  <c r="B2264"/>
  <c r="B778"/>
  <c r="B990"/>
  <c r="B294"/>
  <c r="B879"/>
  <c r="B2311"/>
  <c r="B430"/>
  <c r="B1900"/>
  <c r="B295"/>
  <c r="B2393"/>
  <c r="B226"/>
  <c r="B678"/>
  <c r="B991"/>
  <c r="B1822"/>
  <c r="B1476"/>
  <c r="B2233"/>
  <c r="B2151"/>
  <c r="B1823"/>
  <c r="B270"/>
  <c r="B300"/>
  <c r="B1970"/>
  <c r="B2402"/>
  <c r="B2374"/>
  <c r="B1370"/>
  <c r="B950"/>
  <c r="B2312"/>
  <c r="B1996"/>
  <c r="B1774"/>
  <c r="B1434"/>
  <c r="B271"/>
  <c r="B1060"/>
  <c r="B2403"/>
  <c r="B2440"/>
  <c r="B2423"/>
  <c r="B1450"/>
  <c r="B378"/>
  <c r="B1755"/>
  <c r="B2135"/>
  <c r="B217"/>
  <c r="B2159"/>
  <c r="B1305"/>
  <c r="B1101"/>
  <c r="B1102"/>
  <c r="B453"/>
  <c r="B810"/>
  <c r="B2348"/>
  <c r="B110"/>
  <c r="B399"/>
  <c r="B2594"/>
  <c r="B85"/>
  <c r="B1154"/>
  <c r="B248"/>
  <c r="B606"/>
  <c r="B2073"/>
  <c r="B1866"/>
  <c r="B368"/>
  <c r="B974"/>
  <c r="B1416"/>
  <c r="B1146"/>
  <c r="B1739"/>
  <c r="B553"/>
  <c r="B717"/>
  <c r="B702"/>
  <c r="B301"/>
  <c r="B1792"/>
  <c r="B2054"/>
  <c r="B2197"/>
  <c r="B236"/>
  <c r="B607"/>
  <c r="B1824"/>
  <c r="B1867"/>
  <c r="B1196"/>
  <c r="B454"/>
  <c r="B1187"/>
  <c r="B1033"/>
  <c r="B2623"/>
  <c r="B2334"/>
  <c r="B2441"/>
  <c r="B629"/>
  <c r="B2635"/>
  <c r="B1868"/>
  <c r="B13"/>
  <c r="B1638"/>
  <c r="B1124"/>
  <c r="B718"/>
  <c r="B811"/>
  <c r="B1197"/>
  <c r="B2055"/>
  <c r="B369"/>
  <c r="B1525"/>
  <c r="B1126"/>
  <c r="B2136"/>
  <c r="B2358"/>
  <c r="B630"/>
  <c r="B296"/>
  <c r="B476"/>
  <c r="B2137"/>
  <c r="B779"/>
  <c r="B1775"/>
  <c r="B2217"/>
  <c r="B1901"/>
  <c r="B2152"/>
  <c r="B147"/>
  <c r="B1034"/>
  <c r="B1793"/>
  <c r="B1002"/>
  <c r="B2723"/>
  <c r="B2710"/>
  <c r="B2488"/>
  <c r="B2027"/>
  <c r="B2624"/>
  <c r="B2636"/>
  <c r="B1526"/>
  <c r="B719"/>
  <c r="B2442"/>
  <c r="B1061"/>
  <c r="B400"/>
  <c r="B2097"/>
  <c r="B44"/>
  <c r="B1306"/>
  <c r="B780"/>
  <c r="B117"/>
  <c r="B1307"/>
  <c r="B2234"/>
  <c r="B1620"/>
  <c r="B1499"/>
  <c r="B1527"/>
  <c r="B2291"/>
  <c r="B42"/>
  <c r="B53"/>
  <c r="B2056"/>
  <c r="B758"/>
  <c r="B1393"/>
  <c r="B2655"/>
  <c r="B2183"/>
  <c r="B1556"/>
  <c r="B2198"/>
  <c r="B1633"/>
  <c r="B1776"/>
  <c r="B2011"/>
  <c r="B106"/>
  <c r="B210"/>
  <c r="B64"/>
  <c r="B1155"/>
  <c r="B1583"/>
  <c r="B1599"/>
  <c r="B2153"/>
  <c r="B1756"/>
  <c r="B866"/>
  <c r="B1257"/>
  <c r="B401"/>
  <c r="B99"/>
  <c r="B905"/>
  <c r="B1528"/>
  <c r="B148"/>
  <c r="B431"/>
  <c r="B432"/>
  <c r="B2595"/>
  <c r="B474"/>
  <c r="B679"/>
  <c r="B520"/>
  <c r="B32"/>
  <c r="B2724"/>
  <c r="B1322"/>
  <c r="B631"/>
  <c r="B2244"/>
  <c r="B2218"/>
  <c r="B1135"/>
  <c r="B433"/>
  <c r="B1062"/>
  <c r="B2465"/>
  <c r="B2394"/>
  <c r="B1226"/>
  <c r="B1626"/>
  <c r="B1915"/>
  <c r="B118"/>
  <c r="B119"/>
  <c r="B933"/>
  <c r="B2245"/>
  <c r="B227"/>
  <c r="B402"/>
  <c r="B1173"/>
  <c r="B1156"/>
  <c r="B2175"/>
  <c r="B129"/>
  <c r="B403"/>
  <c r="B1946"/>
  <c r="B318"/>
  <c r="B951"/>
  <c r="B450"/>
  <c r="B1942"/>
  <c r="B1600"/>
  <c r="B906"/>
  <c r="B1546"/>
  <c r="B1493"/>
  <c r="B1161"/>
  <c r="B1188"/>
  <c r="B608"/>
  <c r="B1601"/>
  <c r="B1602"/>
  <c r="B2321"/>
  <c r="B2707"/>
  <c r="B1198"/>
  <c r="B2596"/>
  <c r="B842"/>
  <c r="B1928"/>
  <c r="B1977"/>
  <c r="B2107"/>
  <c r="B632"/>
  <c r="B350"/>
  <c r="B130"/>
  <c r="B2292"/>
  <c r="B469"/>
  <c r="B680"/>
  <c r="B86"/>
  <c r="B1298"/>
  <c r="B49"/>
  <c r="B1557"/>
  <c r="B895"/>
  <c r="B1504"/>
  <c r="B2681"/>
  <c r="B2682"/>
  <c r="B896"/>
  <c r="B992"/>
  <c r="B1245"/>
  <c r="B521"/>
  <c r="B1997"/>
  <c r="B1208"/>
  <c r="B2443"/>
  <c r="B2404"/>
  <c r="B289"/>
  <c r="B975"/>
  <c r="B1709"/>
  <c r="B447"/>
  <c r="B1825"/>
  <c r="B952"/>
  <c r="B1063"/>
  <c r="B1757"/>
  <c r="B1189"/>
  <c r="B1740"/>
  <c r="B249"/>
  <c r="B272"/>
  <c r="B1064"/>
  <c r="B1517"/>
  <c r="B24"/>
  <c r="B1417"/>
  <c r="B609"/>
  <c r="B1644"/>
  <c r="B867"/>
  <c r="B228"/>
  <c r="B1199"/>
  <c r="B33"/>
  <c r="B2119"/>
  <c r="B1621"/>
  <c r="B1003"/>
  <c r="B2424"/>
  <c r="B554"/>
  <c r="B575"/>
  <c r="B633"/>
  <c r="B2016"/>
  <c r="B2067"/>
  <c r="B1826"/>
  <c r="B1157"/>
  <c r="B2669"/>
  <c r="B634"/>
  <c r="B812"/>
  <c r="B1563"/>
  <c r="B976"/>
  <c r="B1569"/>
  <c r="B57"/>
  <c r="B1227"/>
  <c r="B1477"/>
  <c r="B2518"/>
  <c r="B2160"/>
  <c r="B2653"/>
  <c r="B1777"/>
  <c r="B2405"/>
  <c r="B1978"/>
  <c r="B2578"/>
  <c r="B907"/>
  <c r="B920"/>
  <c r="B1536"/>
  <c r="B1103"/>
  <c r="B1012"/>
  <c r="B1104"/>
  <c r="B1158"/>
  <c r="B1827"/>
  <c r="B720"/>
  <c r="B1462"/>
  <c r="B2349"/>
  <c r="B2466"/>
  <c r="B2657"/>
  <c r="B342"/>
  <c r="B1065"/>
  <c r="B1371"/>
  <c r="B1558"/>
  <c r="B555"/>
  <c r="B2637"/>
  <c r="B1778"/>
  <c r="B1394"/>
  <c r="B1541"/>
  <c r="B2658"/>
  <c r="B504"/>
  <c r="B2702"/>
  <c r="B749"/>
  <c r="B1500"/>
  <c r="B2519"/>
  <c r="B934"/>
  <c r="B2467"/>
  <c r="B65"/>
  <c r="B1584"/>
  <c r="B1684"/>
  <c r="B1529"/>
  <c r="B89"/>
  <c r="B1909"/>
  <c r="B443"/>
  <c r="B452"/>
  <c r="B1828"/>
  <c r="B1313"/>
  <c r="B759"/>
  <c r="B2568"/>
  <c r="B2057"/>
  <c r="B953"/>
  <c r="B2176"/>
  <c r="B1971"/>
  <c r="B2017"/>
  <c r="B211"/>
  <c r="B493"/>
  <c r="B2395"/>
  <c r="B1741"/>
  <c r="B2604"/>
  <c r="B813"/>
  <c r="B2597"/>
  <c r="B681"/>
  <c r="B682"/>
  <c r="B1570"/>
  <c r="B229"/>
  <c r="B149"/>
  <c r="B34"/>
  <c r="B1451"/>
  <c r="B250"/>
  <c r="B2219"/>
  <c r="B1829"/>
  <c r="B2062"/>
  <c r="B1418"/>
  <c r="B2545"/>
  <c r="B1452"/>
  <c r="B2199"/>
  <c r="B2220"/>
  <c r="B2327"/>
  <c r="B2520"/>
  <c r="B2058"/>
  <c r="B576"/>
  <c r="B610"/>
  <c r="B1612"/>
  <c r="B2546"/>
  <c r="B683"/>
  <c r="B2530"/>
  <c r="B404"/>
  <c r="B1685"/>
  <c r="B781"/>
  <c r="B750"/>
  <c r="B1419"/>
  <c r="B2200"/>
  <c r="B782"/>
  <c r="B1571"/>
  <c r="B131"/>
  <c r="B379"/>
  <c r="B2350"/>
  <c r="B1314"/>
  <c r="B1954"/>
  <c r="B323"/>
  <c r="B1147"/>
  <c r="B2293"/>
  <c r="B1105"/>
  <c r="B1551"/>
  <c r="B908"/>
  <c r="B87"/>
  <c r="B1923"/>
  <c r="B237"/>
  <c r="B2425"/>
  <c r="B2372"/>
  <c r="B273"/>
  <c r="B284"/>
  <c r="B280"/>
  <c r="B2221"/>
  <c r="B2246"/>
  <c r="B1924"/>
  <c r="B857"/>
  <c r="B843"/>
  <c r="B58"/>
  <c r="B1478"/>
  <c r="B1435"/>
  <c r="B2670"/>
  <c r="B751"/>
  <c r="B2547"/>
  <c r="B2664"/>
  <c r="B577"/>
  <c r="B2659"/>
  <c r="B556"/>
  <c r="B1106"/>
  <c r="B858"/>
  <c r="B1613"/>
  <c r="B1278"/>
  <c r="B1932"/>
  <c r="B2444"/>
  <c r="B814"/>
  <c r="B2696"/>
  <c r="B1453"/>
  <c r="B977"/>
  <c r="B230"/>
  <c r="B1542"/>
  <c r="B201"/>
  <c r="B96"/>
  <c r="B1603"/>
  <c r="B1998"/>
  <c r="B1122"/>
  <c r="B132"/>
  <c r="B1035"/>
  <c r="B2671"/>
  <c r="B1036"/>
  <c r="B2084"/>
  <c r="B1420"/>
  <c r="B557"/>
  <c r="B1466"/>
  <c r="B2373"/>
  <c r="B485"/>
  <c r="B2265"/>
  <c r="B2138"/>
  <c r="B935"/>
  <c r="B2521"/>
  <c r="B880"/>
  <c r="B1372"/>
  <c r="B35"/>
  <c r="B1209"/>
  <c r="B2522"/>
  <c r="B180"/>
  <c r="B752"/>
  <c r="B1869"/>
  <c r="B461"/>
  <c r="B1228"/>
  <c r="B2086"/>
  <c r="B684"/>
  <c r="B1066"/>
  <c r="B319"/>
  <c r="B21"/>
  <c r="B2256"/>
  <c r="B1107"/>
  <c r="B1742"/>
  <c r="B1670"/>
  <c r="B14"/>
  <c r="B815"/>
  <c r="B2222"/>
  <c r="B2638"/>
  <c r="B75"/>
  <c r="B685"/>
  <c r="B2725"/>
  <c r="B1794"/>
  <c r="B2127"/>
  <c r="B251"/>
  <c r="B2028"/>
  <c r="B1037"/>
  <c r="B954"/>
  <c r="B417"/>
  <c r="B2683"/>
  <c r="B1067"/>
  <c r="B274"/>
  <c r="B1902"/>
  <c r="B2625"/>
  <c r="B1421"/>
  <c r="B611"/>
  <c r="B760"/>
  <c r="B1830"/>
  <c r="B314"/>
  <c r="B1710"/>
  <c r="B2406"/>
  <c r="B2407"/>
  <c r="B1779"/>
  <c r="B578"/>
  <c r="B558"/>
  <c r="B955"/>
  <c r="B324"/>
  <c r="B2426"/>
  <c r="B721"/>
  <c r="B181"/>
  <c r="B1903"/>
  <c r="B252"/>
  <c r="B2177"/>
  <c r="B2294"/>
  <c r="B816"/>
  <c r="B2223"/>
  <c r="B212"/>
  <c r="B1999"/>
  <c r="B1038"/>
  <c r="B2295"/>
  <c r="B936"/>
  <c r="B486"/>
  <c r="B2071"/>
  <c r="B2611"/>
  <c r="B1743"/>
  <c r="B213"/>
  <c r="B1530"/>
  <c r="B686"/>
  <c r="B2161"/>
  <c r="B2266"/>
  <c r="B1491"/>
  <c r="B2224"/>
  <c r="B2427"/>
  <c r="B258"/>
  <c r="B2296"/>
  <c r="B937"/>
  <c r="B2091"/>
  <c r="B2685"/>
  <c r="B783"/>
  <c r="B784"/>
  <c r="B1744"/>
  <c r="B2489"/>
  <c r="B1692"/>
  <c r="B2059"/>
  <c r="B1795"/>
  <c r="B1572"/>
  <c r="B2468"/>
  <c r="B275"/>
  <c r="B817"/>
  <c r="B1264"/>
  <c r="B1229"/>
  <c r="B909"/>
  <c r="B1831"/>
  <c r="B1190"/>
  <c r="B1780"/>
  <c r="B2128"/>
  <c r="B2184"/>
  <c r="B1634"/>
  <c r="B285"/>
  <c r="B455"/>
  <c r="B2639"/>
  <c r="B150"/>
  <c r="B434"/>
  <c r="B687"/>
  <c r="B448"/>
  <c r="B1781"/>
  <c r="B2297"/>
  <c r="B2598"/>
  <c r="B2523"/>
  <c r="B2257"/>
  <c r="B1782"/>
  <c r="B956"/>
  <c r="B370"/>
  <c r="B2040"/>
  <c r="B2258"/>
  <c r="B2298"/>
  <c r="B761"/>
  <c r="B418"/>
  <c r="B1159"/>
  <c r="B470"/>
  <c r="B76"/>
  <c r="B100"/>
  <c r="B1832"/>
  <c r="B1436"/>
  <c r="B1471"/>
  <c r="B2000"/>
  <c r="B1200"/>
  <c r="B2490"/>
  <c r="B1652"/>
  <c r="B1653"/>
  <c r="B505"/>
  <c r="B1265"/>
  <c r="B722"/>
  <c r="B2018"/>
  <c r="B1485"/>
  <c r="B1279"/>
  <c r="B1068"/>
  <c r="B753"/>
  <c r="B2335"/>
  <c r="B2726"/>
  <c r="B302"/>
  <c r="B1230"/>
  <c r="B2469"/>
  <c r="B1645"/>
  <c r="B1622"/>
  <c r="B559"/>
  <c r="B2299"/>
  <c r="B2445"/>
  <c r="B1004"/>
  <c r="B938"/>
  <c r="B5"/>
  <c r="B2267"/>
  <c r="B844"/>
  <c r="B2120"/>
  <c r="B1573"/>
  <c r="B978"/>
  <c r="B405"/>
  <c r="B406"/>
  <c r="B2599"/>
  <c r="B635"/>
  <c r="B487"/>
  <c r="B1758"/>
  <c r="B276"/>
  <c r="B1142"/>
  <c r="B1531"/>
  <c r="B494"/>
  <c r="B1745"/>
  <c r="B2162"/>
  <c r="B1454"/>
  <c r="B2001"/>
  <c r="B164"/>
  <c r="B2351"/>
  <c r="B2259"/>
  <c r="B2300"/>
  <c r="B1796"/>
  <c r="B1711"/>
  <c r="B636"/>
  <c r="B190"/>
  <c r="B2268"/>
  <c r="B2085"/>
  <c r="B1467"/>
  <c r="B2408"/>
  <c r="B343"/>
  <c r="B2129"/>
  <c r="B1246"/>
  <c r="B1783"/>
  <c r="B2640"/>
  <c r="B1914"/>
  <c r="B1614"/>
  <c r="B2322"/>
  <c r="B2225"/>
  <c r="B435"/>
  <c r="B723"/>
  <c r="B1746"/>
  <c r="B2615"/>
  <c r="B1559"/>
  <c r="B1280"/>
  <c r="B2029"/>
  <c r="B2672"/>
  <c r="B1560"/>
  <c r="B1464"/>
  <c r="B2600"/>
  <c r="B2446"/>
  <c r="B1797"/>
  <c r="B2428"/>
  <c r="B845"/>
  <c r="B1455"/>
  <c r="B2178"/>
  <c r="B1950"/>
  <c r="B2336"/>
  <c r="B2139"/>
  <c r="B1108"/>
  <c r="B2337"/>
  <c r="B2359"/>
  <c r="B818"/>
  <c r="B724"/>
  <c r="B1686"/>
  <c r="B2301"/>
  <c r="B2302"/>
  <c r="B2641"/>
  <c r="B2002"/>
  <c r="B579"/>
  <c r="B785"/>
  <c r="B1039"/>
  <c r="B1604"/>
  <c r="B316"/>
  <c r="B1955"/>
  <c r="B462"/>
  <c r="B1231"/>
  <c r="B165"/>
  <c r="B1162"/>
  <c r="B762"/>
  <c r="B2019"/>
  <c r="B2396"/>
  <c r="B2185"/>
  <c r="B60"/>
  <c r="B1109"/>
  <c r="B1258"/>
  <c r="B2554"/>
  <c r="B1654"/>
  <c r="B477"/>
  <c r="B191"/>
  <c r="B2409"/>
  <c r="B979"/>
  <c r="B351"/>
  <c r="B1676"/>
  <c r="B2642"/>
  <c r="B2524"/>
  <c r="B1671"/>
  <c r="B1677"/>
  <c r="B2186"/>
  <c r="B2235"/>
  <c r="B436"/>
  <c r="B939"/>
  <c r="B940"/>
  <c r="B881"/>
  <c r="B1933"/>
  <c r="B1281"/>
  <c r="B1110"/>
  <c r="B2020"/>
  <c r="B1111"/>
  <c r="B786"/>
  <c r="B910"/>
  <c r="B1605"/>
  <c r="B1606"/>
  <c r="B297"/>
  <c r="B1689"/>
  <c r="B1833"/>
  <c r="B1579"/>
  <c r="B1136"/>
  <c r="B819"/>
  <c r="B1834"/>
  <c r="B2676"/>
  <c r="B1422"/>
  <c r="B2491"/>
  <c r="B1904"/>
  <c r="B1128"/>
  <c r="B2429"/>
  <c r="B1437"/>
  <c r="B1472"/>
  <c r="B277"/>
  <c r="B1456"/>
  <c r="B259"/>
  <c r="B612"/>
  <c r="B1423"/>
  <c r="B2643"/>
  <c r="B1508"/>
  <c r="B2616"/>
  <c r="B1672"/>
  <c r="B1356"/>
  <c r="B2430"/>
  <c r="B1213"/>
  <c r="B1129"/>
  <c r="B1712"/>
  <c r="B1282"/>
  <c r="B703"/>
  <c r="B407"/>
  <c r="B253"/>
  <c r="B1784"/>
  <c r="B1340"/>
  <c r="B2555"/>
  <c r="B688"/>
  <c r="B2332"/>
  <c r="B1623"/>
  <c r="B2447"/>
  <c r="B2673"/>
  <c r="B133"/>
  <c r="B1870"/>
  <c r="B1956"/>
  <c r="B1473"/>
  <c r="B993"/>
  <c r="B2708"/>
  <c r="B2617"/>
  <c r="B613"/>
  <c r="B1148"/>
  <c r="B1174"/>
  <c r="B1905"/>
  <c r="B1457"/>
  <c r="B1308"/>
  <c r="B52"/>
  <c r="B2121"/>
  <c r="B1713"/>
  <c r="B2605"/>
  <c r="B176"/>
  <c r="B882"/>
  <c r="B1639"/>
  <c r="B1458"/>
  <c r="B1658"/>
  <c r="B2431"/>
  <c r="B1424"/>
  <c r="B1425"/>
  <c r="B1659"/>
  <c r="B585"/>
  <c r="B2537"/>
  <c r="B1627"/>
  <c r="B1929"/>
  <c r="B1835"/>
  <c r="B51"/>
  <c r="B308"/>
  <c r="B497"/>
  <c r="B2665"/>
  <c r="B278"/>
  <c r="B2432"/>
  <c r="B1509"/>
  <c r="B1532"/>
  <c r="B787"/>
  <c r="B763"/>
  <c r="B1178"/>
  <c r="B2470"/>
  <c r="B2130"/>
  <c r="B2601"/>
  <c r="B1693"/>
  <c r="B764"/>
  <c r="B911"/>
  <c r="B2569"/>
  <c r="B1373"/>
  <c r="B1191"/>
  <c r="B689"/>
  <c r="B2612"/>
  <c r="B437"/>
  <c r="B204"/>
  <c r="B1329"/>
  <c r="B980"/>
  <c r="B1906"/>
  <c r="B2140"/>
  <c r="B408"/>
  <c r="B1972"/>
  <c r="B66"/>
  <c r="B1341"/>
  <c r="B1069"/>
  <c r="B478"/>
  <c r="B2697"/>
  <c r="B1607"/>
  <c r="B788"/>
  <c r="B1651"/>
  <c r="B231"/>
  <c r="B1250"/>
  <c r="B1459"/>
  <c r="B2201"/>
  <c r="B1510"/>
  <c r="B1957"/>
  <c r="B690"/>
  <c r="B522"/>
  <c r="B1979"/>
  <c r="B765"/>
  <c r="B1910"/>
  <c r="B507"/>
  <c r="B1871"/>
  <c r="B1714"/>
  <c r="B1518"/>
  <c r="B2269"/>
  <c r="B2525"/>
  <c r="B438"/>
  <c r="B1342"/>
  <c r="B846"/>
  <c r="B2270"/>
  <c r="B2023"/>
  <c r="B580"/>
  <c r="B167"/>
  <c r="B120"/>
  <c r="B1175"/>
  <c r="B1660"/>
  <c r="B1212"/>
  <c r="B883"/>
  <c r="B2303"/>
  <c r="B101"/>
  <c r="B1912"/>
  <c r="B214"/>
  <c r="B1112"/>
  <c r="B1694"/>
  <c r="B1141"/>
  <c r="B2087"/>
  <c r="B439"/>
  <c r="B2492"/>
  <c r="B1574"/>
  <c r="B2313"/>
  <c r="B1985"/>
  <c r="B1149"/>
  <c r="B2202"/>
  <c r="B2493"/>
  <c r="B2226"/>
  <c r="B1678"/>
  <c r="B1283"/>
  <c r="B560"/>
  <c r="B1299"/>
  <c r="B820"/>
  <c r="B1747"/>
  <c r="B1113"/>
  <c r="B182"/>
  <c r="B232"/>
  <c r="B46"/>
  <c r="B2030"/>
  <c r="B1575"/>
  <c r="B1343"/>
  <c r="B1608"/>
  <c r="B2360"/>
  <c r="B1344"/>
  <c r="B2686"/>
  <c r="B2684"/>
  <c r="B868"/>
  <c r="B1748"/>
  <c r="B409"/>
  <c r="B1163"/>
  <c r="B1345"/>
  <c r="B2304"/>
  <c r="B2271"/>
  <c r="B2108"/>
  <c r="B2305"/>
  <c r="B1640"/>
  <c r="B1836"/>
  <c r="B957"/>
  <c r="B847"/>
  <c r="B2433"/>
  <c r="B2494"/>
  <c r="B419"/>
  <c r="B456"/>
  <c r="B2434"/>
  <c r="B1150"/>
  <c r="B1309"/>
  <c r="B2323"/>
  <c r="B2338"/>
  <c r="B1687"/>
  <c r="B1395"/>
  <c r="B1438"/>
  <c r="B1661"/>
  <c r="B2141"/>
  <c r="B2247"/>
  <c r="B1986"/>
  <c r="B2248"/>
  <c r="B1837"/>
  <c r="B1114"/>
  <c r="B254"/>
  <c r="B67"/>
  <c r="B102"/>
  <c r="B691"/>
  <c r="B1715"/>
  <c r="B196"/>
  <c r="B2060"/>
  <c r="B1576"/>
  <c r="B637"/>
  <c r="B15"/>
  <c r="B1426"/>
  <c r="B821"/>
  <c r="B2075"/>
  <c r="B2081"/>
  <c r="B2203"/>
  <c r="B77"/>
  <c r="B440"/>
  <c r="B1872"/>
  <c r="B2526"/>
  <c r="B2448"/>
  <c r="B734"/>
  <c r="B1533"/>
  <c r="B2021"/>
  <c r="B2024"/>
  <c r="B2677"/>
  <c r="B958"/>
  <c r="B2471"/>
  <c r="B344"/>
  <c r="B1115"/>
  <c r="B2204"/>
  <c r="B1838"/>
  <c r="B1688"/>
  <c r="B444"/>
  <c r="B498"/>
  <c r="B1474"/>
  <c r="B479"/>
  <c r="B1070"/>
  <c r="B2698"/>
  <c r="B1642"/>
  <c r="B2314"/>
  <c r="B2154"/>
  <c r="B1486"/>
  <c r="B1759"/>
  <c r="B2236"/>
  <c r="B2237"/>
  <c r="B692"/>
  <c r="B1310"/>
  <c r="B1609"/>
  <c r="B2727"/>
  <c r="B25"/>
  <c r="B561"/>
  <c r="B959"/>
  <c r="B1247"/>
  <c r="B2472"/>
  <c r="B1151"/>
  <c r="B1624"/>
  <c r="B2031"/>
  <c r="B2272"/>
  <c r="B410"/>
  <c r="B822"/>
  <c r="B2527"/>
  <c r="B2435"/>
  <c r="B981"/>
  <c r="B1749"/>
  <c r="B1492"/>
  <c r="B151"/>
  <c r="B68"/>
  <c r="B562"/>
  <c r="B563"/>
  <c r="B2381"/>
  <c r="B1330"/>
  <c r="B693"/>
  <c r="B982"/>
  <c r="B2142"/>
  <c r="B2339"/>
  <c r="B88"/>
  <c r="B2315"/>
  <c r="B1662"/>
  <c r="B1798"/>
  <c r="B441"/>
  <c r="B823"/>
  <c r="B310"/>
  <c r="B1907"/>
  <c r="B1284"/>
  <c r="B1071"/>
  <c r="B255"/>
  <c r="B1750"/>
  <c r="B638"/>
  <c r="B290"/>
  <c r="B2691"/>
  <c r="B1116"/>
  <c r="B960"/>
  <c r="B983"/>
  <c r="B921"/>
  <c r="B754"/>
  <c r="B2061"/>
  <c r="B1839"/>
  <c r="B694"/>
  <c r="B564"/>
  <c r="B2003"/>
  <c r="B1534"/>
  <c r="B695"/>
  <c r="B1214"/>
  <c r="B1908"/>
  <c r="B2098"/>
  <c r="B2074"/>
  <c r="B2528"/>
  <c r="B2602"/>
  <c r="B1232"/>
  <c r="B1840"/>
  <c r="B1072"/>
  <c r="B1615"/>
  <c r="B1695"/>
  <c r="B1460"/>
  <c r="B1300"/>
  <c r="B1301"/>
  <c r="B192"/>
  <c r="B1760"/>
  <c r="B48"/>
  <c r="B1117"/>
  <c r="B1118"/>
  <c r="B1480"/>
  <c r="B2654"/>
  <c r="B848"/>
  <c r="B1841"/>
  <c r="B2644"/>
  <c r="B2004"/>
  <c r="B2618"/>
  <c r="B103"/>
  <c r="B884"/>
  <c r="B1799"/>
  <c r="B859"/>
  <c r="B2560"/>
  <c r="B984"/>
  <c r="B1130"/>
  <c r="B352"/>
  <c r="B1427"/>
  <c r="B2687"/>
  <c r="B614"/>
  <c r="B1131"/>
  <c r="B2699"/>
  <c r="B72"/>
  <c r="B869"/>
  <c r="B2529"/>
  <c r="B1164"/>
  <c r="B1179"/>
  <c r="B1210"/>
  <c r="B1785"/>
  <c r="B353"/>
</calcChain>
</file>

<file path=xl/sharedStrings.xml><?xml version="1.0" encoding="utf-8"?>
<sst xmlns="http://schemas.openxmlformats.org/spreadsheetml/2006/main" count="23945" uniqueCount="2947">
  <si>
    <t>Активный</t>
  </si>
  <si>
    <t>Код СБР</t>
  </si>
  <si>
    <t>Фамилия</t>
  </si>
  <si>
    <t>Имя</t>
  </si>
  <si>
    <t>Фамилия Англ</t>
  </si>
  <si>
    <t>Имя Англ</t>
  </si>
  <si>
    <t>Пол</t>
  </si>
  <si>
    <t>Категория</t>
  </si>
  <si>
    <t>Регион</t>
  </si>
  <si>
    <t>Регион (3-х буквенное название)</t>
  </si>
  <si>
    <t>Клуб</t>
  </si>
  <si>
    <t>Разряд</t>
  </si>
  <si>
    <t>Дата рождения</t>
  </si>
  <si>
    <t>Год рождения</t>
  </si>
  <si>
    <t xml:space="preserve"> </t>
  </si>
  <si>
    <t>Абаев</t>
  </si>
  <si>
    <t>Евгений</t>
  </si>
  <si>
    <t>М</t>
  </si>
  <si>
    <t>Юниоры</t>
  </si>
  <si>
    <t>Камчатский край</t>
  </si>
  <si>
    <t>КАМ</t>
  </si>
  <si>
    <t>Петропавловск-Камчатский, КГАУ СШОР по ЗВС</t>
  </si>
  <si>
    <t>1 разряд</t>
  </si>
  <si>
    <t>Абашев</t>
  </si>
  <si>
    <t>Дмитрий</t>
  </si>
  <si>
    <t>Мужчины</t>
  </si>
  <si>
    <t>Ямало-Ненецкий АО</t>
  </si>
  <si>
    <t>ЯМА</t>
  </si>
  <si>
    <t>г. Новый Уренгой, ГАУ ЯНАО "ЦОП"</t>
  </si>
  <si>
    <t>МСМК</t>
  </si>
  <si>
    <t>Абдуленко</t>
  </si>
  <si>
    <t>Валерия</t>
  </si>
  <si>
    <t>Ж</t>
  </si>
  <si>
    <t>Девушки 16-17 лет</t>
  </si>
  <si>
    <t>Омская область</t>
  </si>
  <si>
    <t>ОМС</t>
  </si>
  <si>
    <t>г. Омск, БУ г. Омска  "СШОР "ЦЛС"</t>
  </si>
  <si>
    <t>Абдуллин</t>
  </si>
  <si>
    <t>Айдар</t>
  </si>
  <si>
    <t>Юноши 16-17 лет</t>
  </si>
  <si>
    <t>Ульяновская область</t>
  </si>
  <si>
    <t>УЛЬ</t>
  </si>
  <si>
    <t>г. Ульяновск, ОГБУ "УСШОР по биатлону"</t>
  </si>
  <si>
    <t>Абражеева</t>
  </si>
  <si>
    <t>Юниорки</t>
  </si>
  <si>
    <t>Московская область</t>
  </si>
  <si>
    <t>МОС</t>
  </si>
  <si>
    <t>д. Головино, ГБУ МО "СШОР "Истина"</t>
  </si>
  <si>
    <t>МС</t>
  </si>
  <si>
    <t>Абрамов</t>
  </si>
  <si>
    <t>Сергей</t>
  </si>
  <si>
    <t>Юноши 18-19 лет</t>
  </si>
  <si>
    <t>г. Старая Купавна, МБУ "ФСК "Труд"</t>
  </si>
  <si>
    <t>Иван</t>
  </si>
  <si>
    <t>Республика Алтай</t>
  </si>
  <si>
    <t>АЛР</t>
  </si>
  <si>
    <t>Горно-Алтайск, МБОУ ДОД "ДЮСШ г. Горно-Алтайска"</t>
  </si>
  <si>
    <t>Абрамова</t>
  </si>
  <si>
    <t>Екатерина</t>
  </si>
  <si>
    <t>Женщины</t>
  </si>
  <si>
    <t>Мурманская область</t>
  </si>
  <si>
    <t>МУР</t>
  </si>
  <si>
    <t>Мурманск, ГАУМО "МОСШОР по ЗВС"</t>
  </si>
  <si>
    <t>КМС</t>
  </si>
  <si>
    <t>Анна</t>
  </si>
  <si>
    <t>Девушки 18-19 лет</t>
  </si>
  <si>
    <t>Тюменская область</t>
  </si>
  <si>
    <t>ТЮМ</t>
  </si>
  <si>
    <t>Тюмень, ГАУ ТО "ОСШОР Л.Н. Носковой"</t>
  </si>
  <si>
    <t>Абросимов</t>
  </si>
  <si>
    <t>Михаил</t>
  </si>
  <si>
    <t>Пермский край</t>
  </si>
  <si>
    <t>ПЕР</t>
  </si>
  <si>
    <t>г. Пермь, КГАУ "СШОР "Старт"</t>
  </si>
  <si>
    <t>Абсалямова</t>
  </si>
  <si>
    <t>Тансулпан</t>
  </si>
  <si>
    <t>Республика Башкортостан</t>
  </si>
  <si>
    <t>БАШ</t>
  </si>
  <si>
    <t>Уфа, ГБУ СШОР по биатлону РБ</t>
  </si>
  <si>
    <t>Абсатарова</t>
  </si>
  <si>
    <t>Альбина</t>
  </si>
  <si>
    <t>Республика Саха (Якутия)</t>
  </si>
  <si>
    <t>ЯКУ</t>
  </si>
  <si>
    <t>Алдан, РСДЮСШОР</t>
  </si>
  <si>
    <t>Аввакумова</t>
  </si>
  <si>
    <t>Вологодская область</t>
  </si>
  <si>
    <t>ВЛГ</t>
  </si>
  <si>
    <t>д. Кудринская, МБУ ФКиС "Центр подготовки лыжников и биатлонистов" ВМР</t>
  </si>
  <si>
    <t>Авдонин</t>
  </si>
  <si>
    <t>Максим</t>
  </si>
  <si>
    <t>Новосибирская область</t>
  </si>
  <si>
    <t>НВС</t>
  </si>
  <si>
    <t>Новосибирск, ГАУ НСО "СШОР по биатлону"</t>
  </si>
  <si>
    <t>Аверкиев</t>
  </si>
  <si>
    <t>Агарин</t>
  </si>
  <si>
    <t>Егор</t>
  </si>
  <si>
    <t>г. Новосибирск, ГАУ НСО "СШОР по биатлону"</t>
  </si>
  <si>
    <t>Агеев</t>
  </si>
  <si>
    <t>Даниил</t>
  </si>
  <si>
    <t>Агинь</t>
  </si>
  <si>
    <t>Павел</t>
  </si>
  <si>
    <t>Елизово, МБУ СШОР по ЛВС</t>
  </si>
  <si>
    <t>Агишев</t>
  </si>
  <si>
    <t>Hикита</t>
  </si>
  <si>
    <t>Санкт-Петербург</t>
  </si>
  <si>
    <t>СПБ</t>
  </si>
  <si>
    <t>г. Санкт-Петербург, ГБУ СШОР №3 Калининского района</t>
  </si>
  <si>
    <t>Руслан</t>
  </si>
  <si>
    <t>Красноярский край</t>
  </si>
  <si>
    <t>КРК</t>
  </si>
  <si>
    <t>Красноярск, МАУ "СШОР «Сибиряк»</t>
  </si>
  <si>
    <t>Агранович</t>
  </si>
  <si>
    <t>Адамов</t>
  </si>
  <si>
    <t>Игорь</t>
  </si>
  <si>
    <t>Адров</t>
  </si>
  <si>
    <t>Алексей</t>
  </si>
  <si>
    <t>Рязанская область</t>
  </si>
  <si>
    <t>РЯЗ</t>
  </si>
  <si>
    <t>г. Рязянь, ГАУ РО «СШ «Алмаз»</t>
  </si>
  <si>
    <t>Азаров</t>
  </si>
  <si>
    <t>Роман</t>
  </si>
  <si>
    <t>Айвазян</t>
  </si>
  <si>
    <t>Либарит</t>
  </si>
  <si>
    <t>ХМАО-Югра</t>
  </si>
  <si>
    <t>ХАН</t>
  </si>
  <si>
    <t>г. Ханты-Мансийск, БУ "Спортивная школа олимпийского резерва"</t>
  </si>
  <si>
    <t>Айгильдина</t>
  </si>
  <si>
    <t>Анастасия</t>
  </si>
  <si>
    <t>Айкашев</t>
  </si>
  <si>
    <t>Никита</t>
  </si>
  <si>
    <t>г. Нефтеюганск, АПОУ ХМАО-Югры "ЮКИОР"</t>
  </si>
  <si>
    <t>Айкинский</t>
  </si>
  <si>
    <t>г. Красноярск, Академия биатлона</t>
  </si>
  <si>
    <t>Акаёмова</t>
  </si>
  <si>
    <t>г. Уфа, ГБУ СШОР по биатлону РБ</t>
  </si>
  <si>
    <t>Акимов</t>
  </si>
  <si>
    <t>Данил</t>
  </si>
  <si>
    <t>Ханты-Мансийск, БУ "Спортивная школа олимпийского резерва"</t>
  </si>
  <si>
    <t>Акимова</t>
  </si>
  <si>
    <t>Татьяна</t>
  </si>
  <si>
    <t>Чувашская Республика</t>
  </si>
  <si>
    <t>ЧУВ</t>
  </si>
  <si>
    <t>Чебоксары, БУ "СШОР №2" Минспорта Чувашии, ЦСКА</t>
  </si>
  <si>
    <t>Софья</t>
  </si>
  <si>
    <t>Республика Мордовия</t>
  </si>
  <si>
    <t>МОР</t>
  </si>
  <si>
    <t>г. Саранск, ГАУ РМ "СШОР по зимним видам спорта"</t>
  </si>
  <si>
    <t>Аксенов</t>
  </si>
  <si>
    <t>Республика Коми</t>
  </si>
  <si>
    <t>КОМ</t>
  </si>
  <si>
    <t>с. Выльгорт, ГБУ РК "СШОР"</t>
  </si>
  <si>
    <t>Аксенова</t>
  </si>
  <si>
    <t>Алена</t>
  </si>
  <si>
    <t>Санкт-Петербург, ГБУ СШ Красногвардейского района Санкт-Петербурга</t>
  </si>
  <si>
    <t>Акулин</t>
  </si>
  <si>
    <t>Артем</t>
  </si>
  <si>
    <t>Забайкальский край</t>
  </si>
  <si>
    <t>ЗАБ</t>
  </si>
  <si>
    <t>г. Чита, ГБУ "СШОР по биатлону" Забайкальского края</t>
  </si>
  <si>
    <t>Акулиничев</t>
  </si>
  <si>
    <t>Клим</t>
  </si>
  <si>
    <t>Калужская область</t>
  </si>
  <si>
    <t>КАЛ</t>
  </si>
  <si>
    <t>Калуга, ГАУ  КО СШОР «Орленок»</t>
  </si>
  <si>
    <t>Акулов</t>
  </si>
  <si>
    <t>Курганская область</t>
  </si>
  <si>
    <t>КРГ</t>
  </si>
  <si>
    <t>Курган, ГБУ «СШОР №1»</t>
  </si>
  <si>
    <t>Алабова</t>
  </si>
  <si>
    <t>Эльвира</t>
  </si>
  <si>
    <t>Владимирская область</t>
  </si>
  <si>
    <t>ВЛА</t>
  </si>
  <si>
    <t>г. Владимир, МБУ "СШОР № 3"</t>
  </si>
  <si>
    <t>Албычев</t>
  </si>
  <si>
    <t>Алеев</t>
  </si>
  <si>
    <t>Валерий</t>
  </si>
  <si>
    <t>Дивногорск, ДКИОР</t>
  </si>
  <si>
    <t>Алейникова</t>
  </si>
  <si>
    <t>Кристина</t>
  </si>
  <si>
    <t>г. Воскресенск, ЛК Наседкина Н.С.</t>
  </si>
  <si>
    <t>Александров</t>
  </si>
  <si>
    <t>Владимир</t>
  </si>
  <si>
    <t>Чебоксары, БУ "СШОР №2" Минспорта Чувашии</t>
  </si>
  <si>
    <t>Александрова</t>
  </si>
  <si>
    <t>Мария</t>
  </si>
  <si>
    <t>Ярославская область</t>
  </si>
  <si>
    <t>ЯРО</t>
  </si>
  <si>
    <t>г. Ярославль, МУ СШОР №3 им. В.И. Русанова</t>
  </si>
  <si>
    <t>Валентина</t>
  </si>
  <si>
    <t>Удмуртская Республика</t>
  </si>
  <si>
    <t>УДМ</t>
  </si>
  <si>
    <t>г. Ижевск, БУ УР "ССШОР по биатлону"</t>
  </si>
  <si>
    <t>Алексеев</t>
  </si>
  <si>
    <t>Алексеева</t>
  </si>
  <si>
    <t>Александра</t>
  </si>
  <si>
    <t>Свердловская область</t>
  </si>
  <si>
    <t>СВЕ</t>
  </si>
  <si>
    <t>Екатеринбург, ДЮСШ ВИР</t>
  </si>
  <si>
    <t>Лада</t>
  </si>
  <si>
    <t>Москва</t>
  </si>
  <si>
    <t>МСК</t>
  </si>
  <si>
    <t>Москва, ГБУ "СШОР № 43" Москомспорта</t>
  </si>
  <si>
    <t>2 разряд</t>
  </si>
  <si>
    <t>Полина</t>
  </si>
  <si>
    <t>Санкт-Петербург, ГБУ СШОР №3 Калининского района</t>
  </si>
  <si>
    <t>Ксения</t>
  </si>
  <si>
    <t>Алексешникова</t>
  </si>
  <si>
    <t>Новосибирская область - Кемеровская область</t>
  </si>
  <si>
    <t>Алёшин</t>
  </si>
  <si>
    <t>Александр</t>
  </si>
  <si>
    <t>Москва, СШОР "Юность Москвы" по биатлону</t>
  </si>
  <si>
    <t>Алиев</t>
  </si>
  <si>
    <t>Теймур</t>
  </si>
  <si>
    <t>Москва, СШОР "Юность Москвы" по ЛВС "Буревестник"</t>
  </si>
  <si>
    <t>Алтухов</t>
  </si>
  <si>
    <t>Алферов</t>
  </si>
  <si>
    <t>Челябинская область</t>
  </si>
  <si>
    <t>ЧЕЛ</t>
  </si>
  <si>
    <t>г. Магнитогорск, ЧУ ДО "СК "Металлург-Магнитогорск"</t>
  </si>
  <si>
    <t>Алфёрова</t>
  </si>
  <si>
    <t>Амелин</t>
  </si>
  <si>
    <t>Илья</t>
  </si>
  <si>
    <t>Амерханова</t>
  </si>
  <si>
    <t>Лиана</t>
  </si>
  <si>
    <t>Амирбеков</t>
  </si>
  <si>
    <t>Санкт-Петербург, ГБУ СШОР №3 Калининского района, Динамо</t>
  </si>
  <si>
    <t>Андреев</t>
  </si>
  <si>
    <t>Кировская область</t>
  </si>
  <si>
    <t>КИР</t>
  </si>
  <si>
    <t>Чепецкое сельское поселение, КОГАУ СШОР "Перекоп"</t>
  </si>
  <si>
    <t>Химки, МАУ "СШ по ЗВС"</t>
  </si>
  <si>
    <t>Андреева</t>
  </si>
  <si>
    <t>Виктория</t>
  </si>
  <si>
    <t>Дарья</t>
  </si>
  <si>
    <t>Наталья</t>
  </si>
  <si>
    <t>Ирина</t>
  </si>
  <si>
    <t>г. Челябинск, МБУ СШ «Металлург-спорт»</t>
  </si>
  <si>
    <t>Андреянова</t>
  </si>
  <si>
    <t>Арина</t>
  </si>
  <si>
    <t>г. Екатеринбург, УОР №1</t>
  </si>
  <si>
    <t>Андриянова</t>
  </si>
  <si>
    <t>Москва, ГБУ "СШ №102" Москомспорта</t>
  </si>
  <si>
    <t>Андрюшин</t>
  </si>
  <si>
    <t>г. Калуга, МБУ "СШ "Старт"</t>
  </si>
  <si>
    <t>Анисимов</t>
  </si>
  <si>
    <t>г. Тюмень, ГАУ ТО "ОСШОР Л.Н. Носковой"</t>
  </si>
  <si>
    <t>Анисимова</t>
  </si>
  <si>
    <t>г. Пермь, МАУ "СШОР "Летающий лыжник"</t>
  </si>
  <si>
    <t>Анохина</t>
  </si>
  <si>
    <t>Яна</t>
  </si>
  <si>
    <t>г. Дивногорск, ДКИОР</t>
  </si>
  <si>
    <t>Анпилов</t>
  </si>
  <si>
    <t>Сахалинская область</t>
  </si>
  <si>
    <t>САХ</t>
  </si>
  <si>
    <t>г. Южно-Сахалинск, ГБУ СШОР ЗВС</t>
  </si>
  <si>
    <t>Антонов</t>
  </si>
  <si>
    <t>Ярослав</t>
  </si>
  <si>
    <t>Ануфриев</t>
  </si>
  <si>
    <t>Ростислав</t>
  </si>
  <si>
    <t>Кирилл</t>
  </si>
  <si>
    <t>Республика Мордовия - Новосибирская область</t>
  </si>
  <si>
    <t>Саранск, ГАУ РМ "СШОР по зимним видам спорта"</t>
  </si>
  <si>
    <t>Ануфриенко</t>
  </si>
  <si>
    <t>Алёна</t>
  </si>
  <si>
    <t>Тара, БОУ ДО "ДЮСШ" Тарского МР</t>
  </si>
  <si>
    <t>Анферова</t>
  </si>
  <si>
    <t>г. Пермь, КГАУ "СШОР "Старт", Динамо</t>
  </si>
  <si>
    <t>Апанасенко</t>
  </si>
  <si>
    <t>Денис</t>
  </si>
  <si>
    <t>Арбузников</t>
  </si>
  <si>
    <t>Арзамасцева</t>
  </si>
  <si>
    <t>Аринархова</t>
  </si>
  <si>
    <t>Ижевск, БУ УР "ССШОР по биатлону"</t>
  </si>
  <si>
    <t>Аристов</t>
  </si>
  <si>
    <t>г. Новоуральск, ДЮСШ №4</t>
  </si>
  <si>
    <t>Арканов</t>
  </si>
  <si>
    <t>Арсанбеков</t>
  </si>
  <si>
    <t>Артур</t>
  </si>
  <si>
    <t>Арсланова</t>
  </si>
  <si>
    <t>Карина</t>
  </si>
  <si>
    <t>Пермь, КГАУ "СШОР "Старт"</t>
  </si>
  <si>
    <t>Гюзель</t>
  </si>
  <si>
    <t>Артамонов</t>
  </si>
  <si>
    <t>Антон</t>
  </si>
  <si>
    <t>Артамонова</t>
  </si>
  <si>
    <t>Вологда, МБУДО "ДЮСШ по ЗВС"</t>
  </si>
  <si>
    <t>Артемов</t>
  </si>
  <si>
    <t>Арсений</t>
  </si>
  <si>
    <t>Артемян</t>
  </si>
  <si>
    <t>Ренат</t>
  </si>
  <si>
    <t>Архипова</t>
  </si>
  <si>
    <t>Асеев</t>
  </si>
  <si>
    <t>Вадим</t>
  </si>
  <si>
    <t>Астахов</t>
  </si>
  <si>
    <t>Семён</t>
  </si>
  <si>
    <t>п. Токсово, СПб ГБУ СШОР "ШВСМ по ЗВС"</t>
  </si>
  <si>
    <t>Астахова</t>
  </si>
  <si>
    <t>Атауллин</t>
  </si>
  <si>
    <t>Камиль</t>
  </si>
  <si>
    <t>Атюшкина</t>
  </si>
  <si>
    <t>Саратовская область</t>
  </si>
  <si>
    <t>САР</t>
  </si>
  <si>
    <t>г. Балаково, МАУ СШ "Юность"</t>
  </si>
  <si>
    <t>Аулов</t>
  </si>
  <si>
    <t>Афанасов</t>
  </si>
  <si>
    <t>Григорий</t>
  </si>
  <si>
    <t>Афанасьев</t>
  </si>
  <si>
    <t>Санкт-Петербург, ГБУ СШОР №3 Калининского района, ВС РФ</t>
  </si>
  <si>
    <t>Игнатий</t>
  </si>
  <si>
    <t>Аференок</t>
  </si>
  <si>
    <t>Алина</t>
  </si>
  <si>
    <t>Красноярск, Академия биатлона</t>
  </si>
  <si>
    <t>Афоненко</t>
  </si>
  <si>
    <t>Аханькова</t>
  </si>
  <si>
    <t>Ахиялтдинов</t>
  </si>
  <si>
    <t>Ирик</t>
  </si>
  <si>
    <t>Ахмадеев</t>
  </si>
  <si>
    <t>Дамир</t>
  </si>
  <si>
    <t>Магнитогорск, ЧУ ДО "СК "Металлург-Магнитогорск"</t>
  </si>
  <si>
    <t>Ахметов</t>
  </si>
  <si>
    <t>Альберт</t>
  </si>
  <si>
    <t>Республика Бурятия</t>
  </si>
  <si>
    <t>БУР</t>
  </si>
  <si>
    <t>г. Улан-Удэ, МАОУ ДЮСШ-4</t>
  </si>
  <si>
    <t>Ахметшин</t>
  </si>
  <si>
    <t>Ахметшина</t>
  </si>
  <si>
    <t>Аделя</t>
  </si>
  <si>
    <t>г. Димитровград, МКУ СШ «Нейтрон»</t>
  </si>
  <si>
    <t>Ахтямов</t>
  </si>
  <si>
    <t>Ильмир</t>
  </si>
  <si>
    <t>Санкт-Петербург, СПб ГБПОУ "УОР №2 (техникум)"</t>
  </si>
  <si>
    <t>Аширова</t>
  </si>
  <si>
    <t>София</t>
  </si>
  <si>
    <t>г. Санкт-Петербург, ГБУ СШОР №2 Невского района Санкт-Петербурга</t>
  </si>
  <si>
    <t>Бабажанов</t>
  </si>
  <si>
    <t>г. Саратов, МУ "СШОР № 3" г. Саратова</t>
  </si>
  <si>
    <t>Бабелло</t>
  </si>
  <si>
    <t>Чита, ГБУ "СШОР по биатлону" Забайкальского края</t>
  </si>
  <si>
    <t>Бабиков</t>
  </si>
  <si>
    <t>г. Уфа, ГБУ СШОР по биатлону РБ, ЦСКА</t>
  </si>
  <si>
    <t>ЗМС</t>
  </si>
  <si>
    <t>Бабичев</t>
  </si>
  <si>
    <t>Виталий</t>
  </si>
  <si>
    <t>Бабкин</t>
  </si>
  <si>
    <t>Владислав</t>
  </si>
  <si>
    <t>Бабкина</t>
  </si>
  <si>
    <t>г. Петропавловск-Камчатский, КГАУ СШОР по ЗВС</t>
  </si>
  <si>
    <t>Бабушкин</t>
  </si>
  <si>
    <t>Бабчин</t>
  </si>
  <si>
    <t>Бабыкин</t>
  </si>
  <si>
    <t>Багров</t>
  </si>
  <si>
    <t>г. Октябрьский, МБУ "СШОР №3" ГО г.Октябрьский</t>
  </si>
  <si>
    <t>Баданина</t>
  </si>
  <si>
    <t>Елена</t>
  </si>
  <si>
    <t>Бадмаева</t>
  </si>
  <si>
    <t>Аюна</t>
  </si>
  <si>
    <t>Бадретдинов</t>
  </si>
  <si>
    <t>Саратов, МУ "СШОР № 3" г. Саратова</t>
  </si>
  <si>
    <t>Баженов</t>
  </si>
  <si>
    <t>Бажин</t>
  </si>
  <si>
    <t>Баимова</t>
  </si>
  <si>
    <t>г. Нягань, МАУ МО г.Нягань «СШОР «ЦСП»</t>
  </si>
  <si>
    <t>Баитов</t>
  </si>
  <si>
    <t>Байдак</t>
  </si>
  <si>
    <t>Байкова</t>
  </si>
  <si>
    <t>Байсеитов</t>
  </si>
  <si>
    <t>Алма</t>
  </si>
  <si>
    <t>Правдинский, МБУ "СШ по биатлону им. А.Елизарова ПМР МО"</t>
  </si>
  <si>
    <t>Баканова</t>
  </si>
  <si>
    <t>Бакиев</t>
  </si>
  <si>
    <t>Ильдан</t>
  </si>
  <si>
    <t>г. Тюмень, ГАУ ТО "ЦСП", ЦСКА</t>
  </si>
  <si>
    <t>Бакланов</t>
  </si>
  <si>
    <t>Андрей</t>
  </si>
  <si>
    <t>Ленинградская область</t>
  </si>
  <si>
    <t>ЛЕН</t>
  </si>
  <si>
    <t>г. Тихвин, МБУ ДО ДЮСШ "Богатырь", ВС РФ</t>
  </si>
  <si>
    <t>Бакро</t>
  </si>
  <si>
    <t>Радион</t>
  </si>
  <si>
    <t>Бакуменко</t>
  </si>
  <si>
    <t>Елизавета</t>
  </si>
  <si>
    <t>Баландин</t>
  </si>
  <si>
    <t>Георгий</t>
  </si>
  <si>
    <t>Балашов</t>
  </si>
  <si>
    <t>Балдуева</t>
  </si>
  <si>
    <t>Влада</t>
  </si>
  <si>
    <t>Балохонов</t>
  </si>
  <si>
    <t>Василий</t>
  </si>
  <si>
    <t>Томская область </t>
  </si>
  <si>
    <t>ТОМ</t>
  </si>
  <si>
    <t>г. Томск, СШОР Н. Барановой</t>
  </si>
  <si>
    <t>Балуков</t>
  </si>
  <si>
    <t>Леонид</t>
  </si>
  <si>
    <t>Балякина</t>
  </si>
  <si>
    <t>Мурманск, МАУ СШОР №3</t>
  </si>
  <si>
    <t>Бандурин</t>
  </si>
  <si>
    <t>Барабанов</t>
  </si>
  <si>
    <t>Баракова</t>
  </si>
  <si>
    <t>Баранихин</t>
  </si>
  <si>
    <t>Баранов</t>
  </si>
  <si>
    <t>Республика Татарстан</t>
  </si>
  <si>
    <t>ТАТ</t>
  </si>
  <si>
    <t>Казань, ГБПОУ "КазУОР"</t>
  </si>
  <si>
    <t>Юрий</t>
  </si>
  <si>
    <t>Ульяновск, ОГБУ "УСШОР по биатлону"</t>
  </si>
  <si>
    <t>Баранова</t>
  </si>
  <si>
    <t>Джамилия</t>
  </si>
  <si>
    <t>г. Москва, ГБУ "СШ №102" Москомспорта</t>
  </si>
  <si>
    <t>Баранунькина</t>
  </si>
  <si>
    <t>Алиса</t>
  </si>
  <si>
    <t>г. Челябинск, МБУ СШ «Металлург-спорт», Динамо</t>
  </si>
  <si>
    <t>Баранчеева</t>
  </si>
  <si>
    <t>г. Протвино, ГБУ МО "СШОР "Истина"</t>
  </si>
  <si>
    <t>Барахтин</t>
  </si>
  <si>
    <t>Баращенко</t>
  </si>
  <si>
    <t>Барковская</t>
  </si>
  <si>
    <t>Барышева</t>
  </si>
  <si>
    <t>Барышников</t>
  </si>
  <si>
    <t>Златоуст, МАУ СШОР №1 им. С.И. Ишмуратовой</t>
  </si>
  <si>
    <t>Барышникова</t>
  </si>
  <si>
    <t>Олеся</t>
  </si>
  <si>
    <t>Марина</t>
  </si>
  <si>
    <t>го Краснознаменск, МБУ ДО ДЮСШ го Краснознаменск</t>
  </si>
  <si>
    <t>Баскова</t>
  </si>
  <si>
    <t>Батманов</t>
  </si>
  <si>
    <t>Ямало-Ненецкий АО - Республика Коми</t>
  </si>
  <si>
    <t>Батманова</t>
  </si>
  <si>
    <t>Южно-Сахалинск, ГБУ СШОР ЗВС</t>
  </si>
  <si>
    <t>Батурина</t>
  </si>
  <si>
    <t>Варвара</t>
  </si>
  <si>
    <t>Батяйкин</t>
  </si>
  <si>
    <t>Станислав</t>
  </si>
  <si>
    <t>Баулин</t>
  </si>
  <si>
    <t>Бахтина</t>
  </si>
  <si>
    <t>Бахур</t>
  </si>
  <si>
    <t>Бацина</t>
  </si>
  <si>
    <t>Тюмень, ГАУ ТО "ЦСП"</t>
  </si>
  <si>
    <t>Бачериков</t>
  </si>
  <si>
    <t>Башкиров</t>
  </si>
  <si>
    <t>Новоуральск, НФ УОР № 1</t>
  </si>
  <si>
    <t>Баязитов</t>
  </si>
  <si>
    <t>Владлен</t>
  </si>
  <si>
    <t>Бедросян</t>
  </si>
  <si>
    <t>пгт. им. Морозова, ГАУ ЛО ЦСП, ЦСКА</t>
  </si>
  <si>
    <t>Безверхов</t>
  </si>
  <si>
    <t>Захар</t>
  </si>
  <si>
    <t>Сургутский р-он, МАУ СП "СШОР" Сургутского района</t>
  </si>
  <si>
    <t>Бездомникова</t>
  </si>
  <si>
    <t>Ева</t>
  </si>
  <si>
    <t>Безменова</t>
  </si>
  <si>
    <t>Безносов</t>
  </si>
  <si>
    <t>Безрукова</t>
  </si>
  <si>
    <t>Снежана</t>
  </si>
  <si>
    <t>Безрученко</t>
  </si>
  <si>
    <t>Бектуганов</t>
  </si>
  <si>
    <t>г. Чайковский, КГАУ "СШОР "Старт"</t>
  </si>
  <si>
    <t>Беленко</t>
  </si>
  <si>
    <t>Белобокова</t>
  </si>
  <si>
    <t>г. Санкт-Петербург, СПб ГБУ СШОР "ШВСМ по ЗВС"</t>
  </si>
  <si>
    <t>Белов</t>
  </si>
  <si>
    <t>г. Чайковский, КГАУ "СШОР "Старт", Динамо</t>
  </si>
  <si>
    <t>Бердск, МБУ СШ "Восток"</t>
  </si>
  <si>
    <t>г. Бердск, МБУ СШ "Восток"</t>
  </si>
  <si>
    <t>Омск, БУ г. Омска  "СШОР "ЦЛС"</t>
  </si>
  <si>
    <t>Белова</t>
  </si>
  <si>
    <t>Республика Карелия</t>
  </si>
  <si>
    <t>КАР</t>
  </si>
  <si>
    <t>г. Петрозаводск, ГБУ РК "РСШОР"</t>
  </si>
  <si>
    <t>Белозоров</t>
  </si>
  <si>
    <t>Белый</t>
  </si>
  <si>
    <t>Беляева</t>
  </si>
  <si>
    <t>Беляков</t>
  </si>
  <si>
    <t>Санкт-Петербург, СПб ГБУ СШОР "ШВСМ по ЗВС"</t>
  </si>
  <si>
    <t>Белякова</t>
  </si>
  <si>
    <t>Алтайский край</t>
  </si>
  <si>
    <t>АЛТ</t>
  </si>
  <si>
    <t>Барнаул, КГБ ПОУ АУОР</t>
  </si>
  <si>
    <t>Белянин</t>
  </si>
  <si>
    <t>Бердников</t>
  </si>
  <si>
    <t>Бердникова</t>
  </si>
  <si>
    <t>Березан</t>
  </si>
  <si>
    <t>г. Санкт-Петербург, ГБУ СШОР по Л.В.С.</t>
  </si>
  <si>
    <t>Березикова</t>
  </si>
  <si>
    <t>Березина</t>
  </si>
  <si>
    <t>г. Санкт-Петербург, ГБУ СШ Красногвардейского района Санкт-Петербурга</t>
  </si>
  <si>
    <t>Березюк</t>
  </si>
  <si>
    <t>Беркмуш-Антипов</t>
  </si>
  <si>
    <t>Беседина</t>
  </si>
  <si>
    <t>Беспалов</t>
  </si>
  <si>
    <t>Бессонов</t>
  </si>
  <si>
    <t>Бердск, ГАУ НСО "СШОР по биатлону"</t>
  </si>
  <si>
    <t>Пушкино, МБУ "СШ по биатлону им. А.Елизарова ПМР МО"</t>
  </si>
  <si>
    <t>Бибик</t>
  </si>
  <si>
    <t>Ангелина</t>
  </si>
  <si>
    <t>Бибикова</t>
  </si>
  <si>
    <t>Бикташева</t>
  </si>
  <si>
    <t>Лейсан</t>
  </si>
  <si>
    <t>Биркин</t>
  </si>
  <si>
    <t>Бирюкова</t>
  </si>
  <si>
    <t>Рязань, МБУ ДО "СДЮСШОР "Вымпел"</t>
  </si>
  <si>
    <t>Близнецов</t>
  </si>
  <si>
    <t>Близняков</t>
  </si>
  <si>
    <t>Блинов</t>
  </si>
  <si>
    <t>Блохина</t>
  </si>
  <si>
    <t>Бобин</t>
  </si>
  <si>
    <t>Бобков</t>
  </si>
  <si>
    <t>Ивановская область</t>
  </si>
  <si>
    <t>ИВА</t>
  </si>
  <si>
    <t>Кинешма, ДЮСШ «Звездный» г.о. Кинешма</t>
  </si>
  <si>
    <t>Боброва</t>
  </si>
  <si>
    <t>Ольга</t>
  </si>
  <si>
    <t>Бобылева</t>
  </si>
  <si>
    <t>Богданов</t>
  </si>
  <si>
    <t>Костромская область</t>
  </si>
  <si>
    <t>КОС</t>
  </si>
  <si>
    <t>г. Кострома, АНО ДЮСК "Биатлон44"</t>
  </si>
  <si>
    <t>г. Полевской, СК Полевского</t>
  </si>
  <si>
    <t>Богданова</t>
  </si>
  <si>
    <t>Богомолова</t>
  </si>
  <si>
    <t>Бойчевский</t>
  </si>
  <si>
    <t>Болдыжева</t>
  </si>
  <si>
    <t>Анфиса</t>
  </si>
  <si>
    <t>Болдырев</t>
  </si>
  <si>
    <t>Болдырева</t>
  </si>
  <si>
    <t>Маргарита</t>
  </si>
  <si>
    <t>Большаков</t>
  </si>
  <si>
    <t>Большакова</t>
  </si>
  <si>
    <t>Бондарев</t>
  </si>
  <si>
    <t>Бондаренко</t>
  </si>
  <si>
    <t>Всеволод</t>
  </si>
  <si>
    <t>Бондарь</t>
  </si>
  <si>
    <t>Матвей</t>
  </si>
  <si>
    <t>р.п. Муромцево, МБУ ДО "ДЮСШ" Муромцевский МР</t>
  </si>
  <si>
    <t>Борисов</t>
  </si>
  <si>
    <t>Николай</t>
  </si>
  <si>
    <t>Глеб</t>
  </si>
  <si>
    <t>Борисова</t>
  </si>
  <si>
    <t>Смоленская область</t>
  </si>
  <si>
    <t>СМО</t>
  </si>
  <si>
    <t>Смоленск, СОГБУ "СШОР "Юность России"</t>
  </si>
  <si>
    <t>Борисовская</t>
  </si>
  <si>
    <t>Ульяна</t>
  </si>
  <si>
    <t>Боровинских</t>
  </si>
  <si>
    <t>Челябинск, МБУ СШ «Металлург-спорт»</t>
  </si>
  <si>
    <t>Бородатов</t>
  </si>
  <si>
    <t>Бородин</t>
  </si>
  <si>
    <t>Бородулин</t>
  </si>
  <si>
    <t>Боронников</t>
  </si>
  <si>
    <t>Борунов</t>
  </si>
  <si>
    <t>Бочкарев</t>
  </si>
  <si>
    <t>Бочкарева</t>
  </si>
  <si>
    <t>Светлана</t>
  </si>
  <si>
    <t>Бояринцева</t>
  </si>
  <si>
    <t>Боярский</t>
  </si>
  <si>
    <t>Бражкина</t>
  </si>
  <si>
    <t>Братцева</t>
  </si>
  <si>
    <t>Братчиков</t>
  </si>
  <si>
    <t>Бредо</t>
  </si>
  <si>
    <t>Олег</t>
  </si>
  <si>
    <t>Брейкин</t>
  </si>
  <si>
    <t>Бриль</t>
  </si>
  <si>
    <t>Ребриха, МБОУ ДО ДЮСШ Ребрихинского района</t>
  </si>
  <si>
    <t>Брода</t>
  </si>
  <si>
    <t>Республика Башкортостан - Республика Коми</t>
  </si>
  <si>
    <t>Бродин</t>
  </si>
  <si>
    <t>Бруй</t>
  </si>
  <si>
    <t>Брунгардт</t>
  </si>
  <si>
    <t>Брутчикова</t>
  </si>
  <si>
    <t>Брюханов</t>
  </si>
  <si>
    <t>Каменск-Уральский, СШ К-Ур</t>
  </si>
  <si>
    <t>Брюханова</t>
  </si>
  <si>
    <t>Алла</t>
  </si>
  <si>
    <t>Брюхов</t>
  </si>
  <si>
    <t>Бубенщиков</t>
  </si>
  <si>
    <t>Будашкин</t>
  </si>
  <si>
    <t>Будянский</t>
  </si>
  <si>
    <t>Букатникова</t>
  </si>
  <si>
    <t>Букин</t>
  </si>
  <si>
    <t>Булах</t>
  </si>
  <si>
    <t>Федор</t>
  </si>
  <si>
    <t>Булгакова</t>
  </si>
  <si>
    <t>Булеков</t>
  </si>
  <si>
    <t>Петр</t>
  </si>
  <si>
    <t>Булуй</t>
  </si>
  <si>
    <t>Булыгина</t>
  </si>
  <si>
    <t>Бульчук</t>
  </si>
  <si>
    <t>Бунькова</t>
  </si>
  <si>
    <t>Вероника</t>
  </si>
  <si>
    <t>Буранов</t>
  </si>
  <si>
    <t>Бурлаков</t>
  </si>
  <si>
    <t>Семен</t>
  </si>
  <si>
    <t>г. Белорецк, МАУ СШ Белорецкого района</t>
  </si>
  <si>
    <t>Бурова</t>
  </si>
  <si>
    <t>Бурсин</t>
  </si>
  <si>
    <t>Костомукша, МБОУ ДО КГО "ДЮСШ №1"</t>
  </si>
  <si>
    <t>Буртасов</t>
  </si>
  <si>
    <t>Новосибирск, ГАУ НСО "СШОР по биатлону", ВС РФ</t>
  </si>
  <si>
    <t>Бурундуков</t>
  </si>
  <si>
    <t>Междуреченский, БУ ХМАО-Югры "ЦСПСКЮ"</t>
  </si>
  <si>
    <t>Бусел</t>
  </si>
  <si>
    <t>г. Томари, МБУ СШ г. Томари</t>
  </si>
  <si>
    <t>Бусоргин</t>
  </si>
  <si>
    <t>п. Правдинский, МБУ "СШ по биатлону им. А.Елизарова ПМР МО"</t>
  </si>
  <si>
    <t>Бутузова</t>
  </si>
  <si>
    <t>Бучнев</t>
  </si>
  <si>
    <t>Быкова</t>
  </si>
  <si>
    <t>Пермь, МАУ "СШОР "Летающий лыжник"</t>
  </si>
  <si>
    <t>Бякерев</t>
  </si>
  <si>
    <t>Бякерева</t>
  </si>
  <si>
    <t>Диана</t>
  </si>
  <si>
    <t>Ваганова</t>
  </si>
  <si>
    <t>Юлия</t>
  </si>
  <si>
    <t>Вагин</t>
  </si>
  <si>
    <t>г. Нижневартовск, БУ ХМАО-Югры "ЦСПСКЮ", ВС РФ</t>
  </si>
  <si>
    <t>г. Новоуральск, НФ УОР № 1</t>
  </si>
  <si>
    <t>г. Урай, МАУ ДО ДЮСШ "Старт"</t>
  </si>
  <si>
    <t>Вайгин</t>
  </si>
  <si>
    <t>Виктор</t>
  </si>
  <si>
    <t>Псковская область</t>
  </si>
  <si>
    <t>ПСК</t>
  </si>
  <si>
    <t>Псков, ЦСП</t>
  </si>
  <si>
    <t>Валиев</t>
  </si>
  <si>
    <t>Алмаз</t>
  </si>
  <si>
    <t>Валишина</t>
  </si>
  <si>
    <t>Нефтеюганск, МБУ "СШОРПОЗВС"</t>
  </si>
  <si>
    <t>Валухова</t>
  </si>
  <si>
    <t>Валько</t>
  </si>
  <si>
    <t>Валькова</t>
  </si>
  <si>
    <t>Валяев</t>
  </si>
  <si>
    <t>г. Павловский Посад, МУДО ДЮСШ г.о. Павловский Посад</t>
  </si>
  <si>
    <t>Ванюшкин</t>
  </si>
  <si>
    <t>Валентин</t>
  </si>
  <si>
    <t>г. Ханты-Мансийск, АПОУ ХМАО-Югры "ЮКИОР", ВС РФ</t>
  </si>
  <si>
    <t>Варавва</t>
  </si>
  <si>
    <t>Варакин</t>
  </si>
  <si>
    <t>Сыктывкар, ГБУ РК "СШОР"</t>
  </si>
  <si>
    <t>Варган</t>
  </si>
  <si>
    <t>Варенников</t>
  </si>
  <si>
    <t>Варначёв</t>
  </si>
  <si>
    <t>Васен</t>
  </si>
  <si>
    <t>Октябрьский, МБУ "СШОР №3" ГО г.Октябрьский</t>
  </si>
  <si>
    <t>Васенина</t>
  </si>
  <si>
    <t>Васильев</t>
  </si>
  <si>
    <t>г. Чебоксары, МБУ «СШ им.А.И.Тихонова» г.Чебоксары</t>
  </si>
  <si>
    <t>Глазов, ДЮСШ №1</t>
  </si>
  <si>
    <t>г. Курган, ГБУ «СШОР №1»</t>
  </si>
  <si>
    <t>Васильева</t>
  </si>
  <si>
    <t>Екатеринбург, УОР №1</t>
  </si>
  <si>
    <t>Эдита</t>
  </si>
  <si>
    <t>Васина</t>
  </si>
  <si>
    <t>Васнецова</t>
  </si>
  <si>
    <t>г. Чайковский, КГАУ "СШОР "Старт", ЦСКА</t>
  </si>
  <si>
    <t>Васьков</t>
  </si>
  <si>
    <t>Тимофей</t>
  </si>
  <si>
    <t>Васюнина</t>
  </si>
  <si>
    <t>Ватыкин</t>
  </si>
  <si>
    <t>Вахрушев</t>
  </si>
  <si>
    <t>Анатолий</t>
  </si>
  <si>
    <t>Вахрушева</t>
  </si>
  <si>
    <t>Ващенко</t>
  </si>
  <si>
    <t>Вдовин</t>
  </si>
  <si>
    <t>Вегнер</t>
  </si>
  <si>
    <t>Веденский</t>
  </si>
  <si>
    <t>Ведерников</t>
  </si>
  <si>
    <t>Нестер</t>
  </si>
  <si>
    <t>Ведерникова</t>
  </si>
  <si>
    <t>Великосельский</t>
  </si>
  <si>
    <t>Величкина</t>
  </si>
  <si>
    <t>Алтайский край - Новосибирская область</t>
  </si>
  <si>
    <t>Верстунина</t>
  </si>
  <si>
    <t>Верходанов</t>
  </si>
  <si>
    <t>г. Томск, МАУ ДО ДЮСШ зимних видов спорта</t>
  </si>
  <si>
    <t>Вершинин</t>
  </si>
  <si>
    <t>Вершинина</t>
  </si>
  <si>
    <t>Лабытнанги, ГАУ ЯНАО СШОР им. Т.В. Ахатовой</t>
  </si>
  <si>
    <t>Веснина</t>
  </si>
  <si>
    <t>Ветелин</t>
  </si>
  <si>
    <t>Вечканова</t>
  </si>
  <si>
    <t>Вивденко</t>
  </si>
  <si>
    <t>Викторова</t>
  </si>
  <si>
    <t>Аделина</t>
  </si>
  <si>
    <t>Вилимас</t>
  </si>
  <si>
    <t>Томас</t>
  </si>
  <si>
    <t>Виноградов</t>
  </si>
  <si>
    <t>Винокуров</t>
  </si>
  <si>
    <t>Мирослав</t>
  </si>
  <si>
    <t>г. Смоленск, СОГБУ "СШОР "Юность России"</t>
  </si>
  <si>
    <t>Винокурцева</t>
  </si>
  <si>
    <t>Виров</t>
  </si>
  <si>
    <t>Виролайнен</t>
  </si>
  <si>
    <t>г. Ханты-Мансийск, БУ ХМАО-Югры "ЦСПСКЮ"</t>
  </si>
  <si>
    <t>Висневская</t>
  </si>
  <si>
    <t>Вишератин</t>
  </si>
  <si>
    <t>Лев</t>
  </si>
  <si>
    <t>Вишняков</t>
  </si>
  <si>
    <t>Владимиров</t>
  </si>
  <si>
    <t>Владыкина</t>
  </si>
  <si>
    <t>Власенко</t>
  </si>
  <si>
    <t>Власенкова</t>
  </si>
  <si>
    <t>Власов</t>
  </si>
  <si>
    <t>Санкт-Петербург - Ленинградская область</t>
  </si>
  <si>
    <t>г. Санкт-Петербург, МБУ ДО ДЮСШ "Богатырь"</t>
  </si>
  <si>
    <t>Власова</t>
  </si>
  <si>
    <t>г. Добрянка, МАУ  "Добрянская СШ"</t>
  </si>
  <si>
    <t>Влесков</t>
  </si>
  <si>
    <t>Внуков</t>
  </si>
  <si>
    <t>Вовк</t>
  </si>
  <si>
    <t>Камила</t>
  </si>
  <si>
    <t>Вокуев</t>
  </si>
  <si>
    <t>Волков</t>
  </si>
  <si>
    <t>г. Барнаул, КГБ ПОУ АУОР</t>
  </si>
  <si>
    <t>Волкова</t>
  </si>
  <si>
    <t>Бородино, ДЮСШ им.Г.А.Эллера</t>
  </si>
  <si>
    <t>Воловей</t>
  </si>
  <si>
    <t>Володина</t>
  </si>
  <si>
    <t>Вольнова</t>
  </si>
  <si>
    <t>Вольячный</t>
  </si>
  <si>
    <t>Ворожейкина</t>
  </si>
  <si>
    <t>Ворожцов</t>
  </si>
  <si>
    <t>Воронина</t>
  </si>
  <si>
    <t>Тамара</t>
  </si>
  <si>
    <t>Воронова</t>
  </si>
  <si>
    <t>Ворончихина</t>
  </si>
  <si>
    <t>Виолетта</t>
  </si>
  <si>
    <t>Воропаева</t>
  </si>
  <si>
    <t>Нина</t>
  </si>
  <si>
    <t>Воропай</t>
  </si>
  <si>
    <t>Воротников</t>
  </si>
  <si>
    <t>Степан</t>
  </si>
  <si>
    <t>Воротникова</t>
  </si>
  <si>
    <t>Ворошик</t>
  </si>
  <si>
    <t>Ворошилов</t>
  </si>
  <si>
    <t>пгт. им. Морозова, ГАУ ЛО ЦСП</t>
  </si>
  <si>
    <t>Востриков</t>
  </si>
  <si>
    <t>Выдайко</t>
  </si>
  <si>
    <t>г. Нижневартовск, МАУ г. Нижневартовска "СШОР"</t>
  </si>
  <si>
    <t>Высочанский</t>
  </si>
  <si>
    <t>Калуга, МБУ "СШ "Старт"</t>
  </si>
  <si>
    <t>Вьюхин</t>
  </si>
  <si>
    <t>Вяльчина</t>
  </si>
  <si>
    <t>Габдулин</t>
  </si>
  <si>
    <t>Гавердовский</t>
  </si>
  <si>
    <t>Гаврилов</t>
  </si>
  <si>
    <t>Гаврилова</t>
  </si>
  <si>
    <t>Владислава</t>
  </si>
  <si>
    <t>Ханты-Мансийск, АПОУ ХМАО-Югры "ЮКИОР", Буревестник</t>
  </si>
  <si>
    <t>Газнанов</t>
  </si>
  <si>
    <t>Адель</t>
  </si>
  <si>
    <t>г. Казань, ГБУ РСШОР по ЗВС "БАРС"</t>
  </si>
  <si>
    <t>Гайкович</t>
  </si>
  <si>
    <t>Гайнулина</t>
  </si>
  <si>
    <t>Галиев</t>
  </si>
  <si>
    <t>Ильяс</t>
  </si>
  <si>
    <t>пгт. им. Морозова ЛО, ГАУ ЛО ЦСП</t>
  </si>
  <si>
    <t>Галимов</t>
  </si>
  <si>
    <t>Алмас</t>
  </si>
  <si>
    <t>Галимова</t>
  </si>
  <si>
    <t>Галинка</t>
  </si>
  <si>
    <t>Галиуллин</t>
  </si>
  <si>
    <t>Галицына</t>
  </si>
  <si>
    <t>Галкин</t>
  </si>
  <si>
    <t>Галкина</t>
  </si>
  <si>
    <t>Галлямов</t>
  </si>
  <si>
    <t>Галушкин</t>
  </si>
  <si>
    <t>Галыгин</t>
  </si>
  <si>
    <t>Гальчина</t>
  </si>
  <si>
    <t>Гараничев</t>
  </si>
  <si>
    <t>г. Тюмень, ГАУ ТО "ЦСП"</t>
  </si>
  <si>
    <t>Гарбузов</t>
  </si>
  <si>
    <t>Гареев</t>
  </si>
  <si>
    <t>Айнур</t>
  </si>
  <si>
    <t>Гареева</t>
  </si>
  <si>
    <t>Каролина</t>
  </si>
  <si>
    <t>Гарипов</t>
  </si>
  <si>
    <t>Данияр</t>
  </si>
  <si>
    <t>Гаррапов</t>
  </si>
  <si>
    <t>Гартвих</t>
  </si>
  <si>
    <t>Гасилов</t>
  </si>
  <si>
    <t>г. Калуга, ГАУ  КО СШОР «Орленок»</t>
  </si>
  <si>
    <t>Гатилов</t>
  </si>
  <si>
    <t>Гафаров</t>
  </si>
  <si>
    <t>Геливер</t>
  </si>
  <si>
    <t>Данила</t>
  </si>
  <si>
    <t>Генералов</t>
  </si>
  <si>
    <t>Герасимов</t>
  </si>
  <si>
    <t>Гербулов</t>
  </si>
  <si>
    <t>Гербулова</t>
  </si>
  <si>
    <t>Гетман</t>
  </si>
  <si>
    <t>Геттоева</t>
  </si>
  <si>
    <t>г. Костомукша, МБОУ ДО КГО "ДЮСШ №1"</t>
  </si>
  <si>
    <t>Гефель</t>
  </si>
  <si>
    <t>Гидревич</t>
  </si>
  <si>
    <t>г. Санкт-Петербург, СПб ГБПОУ "УОР №2 (техникум)"</t>
  </si>
  <si>
    <t>Гилёва</t>
  </si>
  <si>
    <t>Гиматов</t>
  </si>
  <si>
    <t>Анвар</t>
  </si>
  <si>
    <t>Гиниятуллин</t>
  </si>
  <si>
    <t>Ильгиз</t>
  </si>
  <si>
    <t>Гирбасова</t>
  </si>
  <si>
    <t>Гиренко</t>
  </si>
  <si>
    <t>Главатских</t>
  </si>
  <si>
    <t>Гладкова</t>
  </si>
  <si>
    <t>Глазырина</t>
  </si>
  <si>
    <t>Glazyrina</t>
  </si>
  <si>
    <t>Ekaterina</t>
  </si>
  <si>
    <t>г. Екатеринбург, ЦСП СО, Динамо</t>
  </si>
  <si>
    <t>Гломаздов</t>
  </si>
  <si>
    <t>Родион</t>
  </si>
  <si>
    <t>Глотова</t>
  </si>
  <si>
    <t>Глухих</t>
  </si>
  <si>
    <t>Глушко</t>
  </si>
  <si>
    <t>Гнедкова</t>
  </si>
  <si>
    <t>Годарев</t>
  </si>
  <si>
    <t>Годовых</t>
  </si>
  <si>
    <t>Голдин</t>
  </si>
  <si>
    <t>Голиков</t>
  </si>
  <si>
    <t>Уфа, ГБУ СШОР по биатлону РБ, Динамо</t>
  </si>
  <si>
    <t>Головин</t>
  </si>
  <si>
    <t>Голуб</t>
  </si>
  <si>
    <t>Голубкина</t>
  </si>
  <si>
    <t>Голубкова</t>
  </si>
  <si>
    <t>г. Тосно, ГАУ ЛО ЦСП, ЦСКА</t>
  </si>
  <si>
    <t>Гольцверт</t>
  </si>
  <si>
    <t>Голято</t>
  </si>
  <si>
    <t>Рината</t>
  </si>
  <si>
    <t>Гончарик</t>
  </si>
  <si>
    <t>Гончаров</t>
  </si>
  <si>
    <t>Ханты-Мансийск, БУ ХМАО-Югры "ЦСПСКЮ"</t>
  </si>
  <si>
    <t>Гончарова</t>
  </si>
  <si>
    <t>п/о Путилково, ГБУ МО "ЦСП ОВС"</t>
  </si>
  <si>
    <t>Горбачев</t>
  </si>
  <si>
    <t>Горбунова</t>
  </si>
  <si>
    <t>Горбунцов</t>
  </si>
  <si>
    <t>Горданова</t>
  </si>
  <si>
    <t>г. Волореченск, АНО "ДЮСК "Биатлон"</t>
  </si>
  <si>
    <t>Горделадзе</t>
  </si>
  <si>
    <t>Гордок</t>
  </si>
  <si>
    <t>Гореева</t>
  </si>
  <si>
    <t>Горелова</t>
  </si>
  <si>
    <t>Горин</t>
  </si>
  <si>
    <t>Гормидонов</t>
  </si>
  <si>
    <t>Горохова</t>
  </si>
  <si>
    <t>Оксана</t>
  </si>
  <si>
    <t>Горшков</t>
  </si>
  <si>
    <t>Горяев</t>
  </si>
  <si>
    <t>Горячев</t>
  </si>
  <si>
    <t>Архангельская область</t>
  </si>
  <si>
    <t>АРХ</t>
  </si>
  <si>
    <t>Архангельск, ГАУ "СШОР "Поморье"</t>
  </si>
  <si>
    <t>Гостенко</t>
  </si>
  <si>
    <t>Гостяев</t>
  </si>
  <si>
    <t>Готовцев</t>
  </si>
  <si>
    <t>Градова</t>
  </si>
  <si>
    <t>Грачев</t>
  </si>
  <si>
    <t>Грачёва</t>
  </si>
  <si>
    <t>Грефенштейн</t>
  </si>
  <si>
    <t>Грехов</t>
  </si>
  <si>
    <t>Гречихин</t>
  </si>
  <si>
    <t>Гречишкина</t>
  </si>
  <si>
    <t>Гречман</t>
  </si>
  <si>
    <t>Грибенщиков</t>
  </si>
  <si>
    <t>Григорьев</t>
  </si>
  <si>
    <t>Григорьева</t>
  </si>
  <si>
    <t>Анита</t>
  </si>
  <si>
    <t>Григорьевская</t>
  </si>
  <si>
    <t>Ярослава</t>
  </si>
  <si>
    <t>Гринь</t>
  </si>
  <si>
    <t>г. Лабытнанги, ГАУ ЯНАО СШОР им. Т.В. Ахатовой</t>
  </si>
  <si>
    <t>Грисюк</t>
  </si>
  <si>
    <t>Грицина</t>
  </si>
  <si>
    <t>Гришин</t>
  </si>
  <si>
    <t>Гришина</t>
  </si>
  <si>
    <t>с. Алтайское, МАУ СП "Алтайская СШ"</t>
  </si>
  <si>
    <t>г. Чебоксары, БУ "СШОР №2" Минспорта Чувашии</t>
  </si>
  <si>
    <t>Гришук</t>
  </si>
  <si>
    <t>Гришулин</t>
  </si>
  <si>
    <t>Грищенко</t>
  </si>
  <si>
    <t>Громова</t>
  </si>
  <si>
    <t>Громоздов</t>
  </si>
  <si>
    <t>Груданов</t>
  </si>
  <si>
    <t>Груздев</t>
  </si>
  <si>
    <t>Грунина</t>
  </si>
  <si>
    <t>Груцына</t>
  </si>
  <si>
    <t>Грущак</t>
  </si>
  <si>
    <t>Майя</t>
  </si>
  <si>
    <t>Грязев</t>
  </si>
  <si>
    <t>Артём</t>
  </si>
  <si>
    <t>Мурманск, МАУ СШОР №3, Динамо</t>
  </si>
  <si>
    <t>Грязнов</t>
  </si>
  <si>
    <t>Аркадий</t>
  </si>
  <si>
    <t>Иркутская область</t>
  </si>
  <si>
    <t>ИРК</t>
  </si>
  <si>
    <t>Иркутск, ОГКУ СШ "Юный динамовец"</t>
  </si>
  <si>
    <t>Гудков</t>
  </si>
  <si>
    <t>Гужова</t>
  </si>
  <si>
    <t>Ярославль, МУ СШОР №3 им. В.И. Русанова</t>
  </si>
  <si>
    <t>Гузаев</t>
  </si>
  <si>
    <t>Гузий</t>
  </si>
  <si>
    <t>г. Томск, МАУ ДО ДЮСШ зимних видов спорта, Динамо</t>
  </si>
  <si>
    <t>Гулина</t>
  </si>
  <si>
    <t>Гульев</t>
  </si>
  <si>
    <t>Гумеров</t>
  </si>
  <si>
    <t>Тимур</t>
  </si>
  <si>
    <t>Гунеев</t>
  </si>
  <si>
    <t>Гуревич</t>
  </si>
  <si>
    <t>п. Токсово, СК УТЦ « Кавголово»</t>
  </si>
  <si>
    <t>Гуркина</t>
  </si>
  <si>
    <t>Гурова</t>
  </si>
  <si>
    <t>Гурьянов</t>
  </si>
  <si>
    <t>Гурьянова</t>
  </si>
  <si>
    <t>Гусев</t>
  </si>
  <si>
    <t>Гусева</t>
  </si>
  <si>
    <t>Гутаров</t>
  </si>
  <si>
    <t>Ухта, ГАУ РК "ЦСПСК"</t>
  </si>
  <si>
    <t>Гуторова</t>
  </si>
  <si>
    <t>Саратов, ГБУСО "СШОР "НГ"</t>
  </si>
  <si>
    <t>Гущин</t>
  </si>
  <si>
    <t>Вячеслав</t>
  </si>
  <si>
    <t>Гущина</t>
  </si>
  <si>
    <t>Давидюк</t>
  </si>
  <si>
    <t>Эдуард</t>
  </si>
  <si>
    <t>Давыдов</t>
  </si>
  <si>
    <t>Данилов</t>
  </si>
  <si>
    <t>Эльдар</t>
  </si>
  <si>
    <t>Данилова</t>
  </si>
  <si>
    <t>г.о. Краснознаменск, ГБПОУ МО "УОР № 1"</t>
  </si>
  <si>
    <t>Дария</t>
  </si>
  <si>
    <t>Дашков</t>
  </si>
  <si>
    <t>Дворников</t>
  </si>
  <si>
    <t>Двоянов</t>
  </si>
  <si>
    <t>Дедкова</t>
  </si>
  <si>
    <t>Деменев</t>
  </si>
  <si>
    <t>Демидюк</t>
  </si>
  <si>
    <t>Демин</t>
  </si>
  <si>
    <t>Демина</t>
  </si>
  <si>
    <t>Демичев</t>
  </si>
  <si>
    <t>Дёмышев</t>
  </si>
  <si>
    <t>Денежкина</t>
  </si>
  <si>
    <t>Айдан</t>
  </si>
  <si>
    <t>Денисова</t>
  </si>
  <si>
    <t>Дергачев</t>
  </si>
  <si>
    <t>Деревянных</t>
  </si>
  <si>
    <t>Державин</t>
  </si>
  <si>
    <t>Дерягин</t>
  </si>
  <si>
    <t>Десяткова</t>
  </si>
  <si>
    <t>Деюшин</t>
  </si>
  <si>
    <t>Павловский Посад, МУДО ДЮСШ г.о. Павловский Посад</t>
  </si>
  <si>
    <t>Джанчарова</t>
  </si>
  <si>
    <t>Ассоль</t>
  </si>
  <si>
    <t>Джолос</t>
  </si>
  <si>
    <t>Дзюбин</t>
  </si>
  <si>
    <t>Дианова</t>
  </si>
  <si>
    <t>г. Кодинск, МБУ «СШ по биатлону»</t>
  </si>
  <si>
    <t>Дикарев</t>
  </si>
  <si>
    <t>Диков</t>
  </si>
  <si>
    <t>Димитриев</t>
  </si>
  <si>
    <t>Диниев</t>
  </si>
  <si>
    <t>Айгиз</t>
  </si>
  <si>
    <t>Динисов</t>
  </si>
  <si>
    <t>Дирябин</t>
  </si>
  <si>
    <t>Дмитриева</t>
  </si>
  <si>
    <t>Добрынин</t>
  </si>
  <si>
    <t>Довгая</t>
  </si>
  <si>
    <t>Додонов</t>
  </si>
  <si>
    <t>Дойникова</t>
  </si>
  <si>
    <t>г.о. Краснознаменск, МБУ ДО ДЮСШ го Краснознаменск</t>
  </si>
  <si>
    <t>Долгинский</t>
  </si>
  <si>
    <t>Долгова</t>
  </si>
  <si>
    <t>Дивногорск, Академия биатлона</t>
  </si>
  <si>
    <t>Долженкова</t>
  </si>
  <si>
    <t>Евгения</t>
  </si>
  <si>
    <t>Долотов</t>
  </si>
  <si>
    <t>Доматьев</t>
  </si>
  <si>
    <t>Домичек</t>
  </si>
  <si>
    <t>с. Лесное, МБУ ДО «ДЮСШ» Бийского района</t>
  </si>
  <si>
    <t>Домовенков</t>
  </si>
  <si>
    <t>Даниэль</t>
  </si>
  <si>
    <t>Доморослов</t>
  </si>
  <si>
    <t>Дончевская</t>
  </si>
  <si>
    <t>г. Елизово, МБУ СШОР по ЛВС</t>
  </si>
  <si>
    <t>Дорогавцев</t>
  </si>
  <si>
    <t>Дородников</t>
  </si>
  <si>
    <t>Дороднов</t>
  </si>
  <si>
    <t>Ульяновск, МБУ "СШОР "Рингстар"</t>
  </si>
  <si>
    <t>Дорожкина</t>
  </si>
  <si>
    <t>Доросевич</t>
  </si>
  <si>
    <t>Тарногский городок, БУ ФиС ТМР ВО "Атлант"</t>
  </si>
  <si>
    <t>Дорохов</t>
  </si>
  <si>
    <t>Доскалов</t>
  </si>
  <si>
    <t>Достовалов</t>
  </si>
  <si>
    <t>Дресвянников</t>
  </si>
  <si>
    <t>Дробышев</t>
  </si>
  <si>
    <t>Дрогайцев</t>
  </si>
  <si>
    <t>Дрожжина</t>
  </si>
  <si>
    <t>г. Петрозаводск, СШОРК (СКА), ЦСКА</t>
  </si>
  <si>
    <t>Дроздова</t>
  </si>
  <si>
    <t>Московская область - Республика Мордовия</t>
  </si>
  <si>
    <t>Дроздович</t>
  </si>
  <si>
    <t>Другалев</t>
  </si>
  <si>
    <t>Дружинин</t>
  </si>
  <si>
    <t>Дрюма</t>
  </si>
  <si>
    <t>Дубаенко</t>
  </si>
  <si>
    <t>г. Кинешма, ДЮСШ «Звездный» г.о. Кинешма</t>
  </si>
  <si>
    <t>Дубицкий</t>
  </si>
  <si>
    <t>Дубова</t>
  </si>
  <si>
    <t>Надежда</t>
  </si>
  <si>
    <t>Дубовцев</t>
  </si>
  <si>
    <t>Дубровская</t>
  </si>
  <si>
    <t>Дуганова</t>
  </si>
  <si>
    <t>Дугин</t>
  </si>
  <si>
    <t>Дударь</t>
  </si>
  <si>
    <t>Дулина</t>
  </si>
  <si>
    <t>Думнов</t>
  </si>
  <si>
    <t>Дунаева</t>
  </si>
  <si>
    <t>Дундуков</t>
  </si>
  <si>
    <t>Дурягин</t>
  </si>
  <si>
    <t>Дусакова</t>
  </si>
  <si>
    <t>Дыкин</t>
  </si>
  <si>
    <t>Дымочко</t>
  </si>
  <si>
    <t>Дырдо</t>
  </si>
  <si>
    <t>Дычаковский</t>
  </si>
  <si>
    <t>Дьяков</t>
  </si>
  <si>
    <t>Урай, МАУ ДО ДЮСШ "Старт"</t>
  </si>
  <si>
    <t>Дьяконова</t>
  </si>
  <si>
    <t>Дьячков</t>
  </si>
  <si>
    <t>Дюжева</t>
  </si>
  <si>
    <t>Кира</t>
  </si>
  <si>
    <t>Еваленко</t>
  </si>
  <si>
    <t>Евлампьев</t>
  </si>
  <si>
    <t>Евсеев</t>
  </si>
  <si>
    <t>Евсюнина</t>
  </si>
  <si>
    <t>Евтюхов</t>
  </si>
  <si>
    <t>Егоров</t>
  </si>
  <si>
    <t>Егорова</t>
  </si>
  <si>
    <t>Елесина</t>
  </si>
  <si>
    <t>Нягань, МАУ МО г.Нягань «СШОР «ЦСП»</t>
  </si>
  <si>
    <t>Елисеев</t>
  </si>
  <si>
    <t>Москва - Республика Мордовия</t>
  </si>
  <si>
    <t>Москва, ГБУ "СШОР № 43" Москомспорта, ЦСКА</t>
  </si>
  <si>
    <t>Елисеева</t>
  </si>
  <si>
    <t>Елтышев</t>
  </si>
  <si>
    <t>Eltyshev</t>
  </si>
  <si>
    <t>Igor</t>
  </si>
  <si>
    <t>Ельцов</t>
  </si>
  <si>
    <t>Емельянов</t>
  </si>
  <si>
    <t>Емельянова</t>
  </si>
  <si>
    <t>Ханты-Мансийск, АПОУ ХМАО-Югры "ЮКИОР"</t>
  </si>
  <si>
    <t>Емерхонов</t>
  </si>
  <si>
    <t>Еремин</t>
  </si>
  <si>
    <t>Ерёмина</t>
  </si>
  <si>
    <t>Василиса</t>
  </si>
  <si>
    <t>Ерилов</t>
  </si>
  <si>
    <t>Ермаков</t>
  </si>
  <si>
    <t>Ермакова</t>
  </si>
  <si>
    <t>Ермашов</t>
  </si>
  <si>
    <t>г. Петрозаводск, АУ РК "ЦСП"</t>
  </si>
  <si>
    <t>Ермилова</t>
  </si>
  <si>
    <t>Ермолаев</t>
  </si>
  <si>
    <t>г.о. Краснознаменск, ГБУ МО "ЦСП ОВС"</t>
  </si>
  <si>
    <t>Ермолаева</t>
  </si>
  <si>
    <t>Ерохин</t>
  </si>
  <si>
    <t>Ерунова</t>
  </si>
  <si>
    <t>Ершов</t>
  </si>
  <si>
    <t>Ершова</t>
  </si>
  <si>
    <t>Есаулков</t>
  </si>
  <si>
    <t>Есаян</t>
  </si>
  <si>
    <t>Есин</t>
  </si>
  <si>
    <t>Миасс, МБУ "СШОР №4"</t>
  </si>
  <si>
    <t>Есина</t>
  </si>
  <si>
    <t>Есипова</t>
  </si>
  <si>
    <t>Еськов</t>
  </si>
  <si>
    <t>Хабаровский край</t>
  </si>
  <si>
    <t>ХАБ</t>
  </si>
  <si>
    <t>Хабаровск, КГАУ "ХКСШОР"</t>
  </si>
  <si>
    <t>Ефимов</t>
  </si>
  <si>
    <t>Ефимова</t>
  </si>
  <si>
    <t>Ефимчук</t>
  </si>
  <si>
    <t>Ефремова</t>
  </si>
  <si>
    <t>Челябинск, МБУ СШ «Металлург-спорт», Динамо</t>
  </si>
  <si>
    <t>Ещёва</t>
  </si>
  <si>
    <t>Жаббарова</t>
  </si>
  <si>
    <t>Пушкино, ГБУ МО "ЦСП ОВС"</t>
  </si>
  <si>
    <t>Жабоедов</t>
  </si>
  <si>
    <t>Жабреева</t>
  </si>
  <si>
    <t>Жамин</t>
  </si>
  <si>
    <t>Лесное, МБУ ДО «ДЮСШ» Бийского района</t>
  </si>
  <si>
    <t>Жамина</t>
  </si>
  <si>
    <t>Жаргалов</t>
  </si>
  <si>
    <t>Тамир</t>
  </si>
  <si>
    <t>г. Красноярск, МАУ "СШОР «Сибиряк»</t>
  </si>
  <si>
    <t>Жарков</t>
  </si>
  <si>
    <t>Жданов</t>
  </si>
  <si>
    <t>Железнюк</t>
  </si>
  <si>
    <t>Железов</t>
  </si>
  <si>
    <t>Желудков</t>
  </si>
  <si>
    <t>Жемалов</t>
  </si>
  <si>
    <t>Женихова</t>
  </si>
  <si>
    <t>Жеребцов</t>
  </si>
  <si>
    <t>г. Снежинск, МОУДО "ДЮСШ "Олимпия"</t>
  </si>
  <si>
    <t>Жеребцова</t>
  </si>
  <si>
    <t>Жеребятьев</t>
  </si>
  <si>
    <t>пгт. Приобье, МБУСП "РСШОР"</t>
  </si>
  <si>
    <t>Живодеров</t>
  </si>
  <si>
    <t>Константин</t>
  </si>
  <si>
    <t>Жидких</t>
  </si>
  <si>
    <t>Жилин</t>
  </si>
  <si>
    <t>г. Смоленск, МБУ "Спортивная школа №4"</t>
  </si>
  <si>
    <t>Жилина</t>
  </si>
  <si>
    <t>Мытищи, МБУ "СШ "Авангард", Спартак</t>
  </si>
  <si>
    <t>Жирный</t>
  </si>
  <si>
    <t>Жиронкина</t>
  </si>
  <si>
    <t>Жолудева</t>
  </si>
  <si>
    <t>Петрозаводск, ГБУ РК "РСШОР"</t>
  </si>
  <si>
    <t>Жужгова</t>
  </si>
  <si>
    <t>Жуков</t>
  </si>
  <si>
    <t>Жукова</t>
  </si>
  <si>
    <t>Жулин</t>
  </si>
  <si>
    <t>Жумаев</t>
  </si>
  <si>
    <t>Журавлев</t>
  </si>
  <si>
    <t>Жураускайте</t>
  </si>
  <si>
    <t>Лидия</t>
  </si>
  <si>
    <t>Жураускас</t>
  </si>
  <si>
    <t>Эдвард</t>
  </si>
  <si>
    <t>Журенкова</t>
  </si>
  <si>
    <t>Журков</t>
  </si>
  <si>
    <t>Забелина</t>
  </si>
  <si>
    <t>Заболотин</t>
  </si>
  <si>
    <t>Заболотный</t>
  </si>
  <si>
    <t>Завьялов</t>
  </si>
  <si>
    <t>Загибалов</t>
  </si>
  <si>
    <t>Загибалова</t>
  </si>
  <si>
    <t>Загирова</t>
  </si>
  <si>
    <t>Леана</t>
  </si>
  <si>
    <t>г. Ханты-Мансийск, АПОУ ХМАО-Югры "ЮКИОР"</t>
  </si>
  <si>
    <t>Загоруйко</t>
  </si>
  <si>
    <t>Тюмень, ГАУ ТО "ЦСП", ЦСКА</t>
  </si>
  <si>
    <t>Задорожный</t>
  </si>
  <si>
    <t>Зайцев</t>
  </si>
  <si>
    <t>Залялиев</t>
  </si>
  <si>
    <t>Замалиева</t>
  </si>
  <si>
    <t>Замаруев</t>
  </si>
  <si>
    <t>Замула</t>
  </si>
  <si>
    <t>Занин</t>
  </si>
  <si>
    <t>Заозеров</t>
  </si>
  <si>
    <t>Новосибирская область - Алтайский край</t>
  </si>
  <si>
    <t>Заозёрова</t>
  </si>
  <si>
    <t>Запорожская</t>
  </si>
  <si>
    <t>Зарипов</t>
  </si>
  <si>
    <t>Заславский</t>
  </si>
  <si>
    <t>Захаренкова</t>
  </si>
  <si>
    <t>Захарин</t>
  </si>
  <si>
    <t>Захаров</t>
  </si>
  <si>
    <t>Захарова</t>
  </si>
  <si>
    <t>Серафима</t>
  </si>
  <si>
    <t>Зверев</t>
  </si>
  <si>
    <t>Зверева</t>
  </si>
  <si>
    <t>Здоровец</t>
  </si>
  <si>
    <t>Зеленина</t>
  </si>
  <si>
    <t>Зеленовский</t>
  </si>
  <si>
    <t>Зенова</t>
  </si>
  <si>
    <t>г. Гагарин, МБОУ "Гагаринская спортивная школа"</t>
  </si>
  <si>
    <t>Зигангиров</t>
  </si>
  <si>
    <t>г. Тосно, ДЮСШ №1, ВС РФ</t>
  </si>
  <si>
    <t>Зиганчин</t>
  </si>
  <si>
    <t>Рафаэль</t>
  </si>
  <si>
    <t>г. Нефтеюганск, БУ ХМАО-Югры "ЦСПСКЮ"</t>
  </si>
  <si>
    <t>Зимовейский</t>
  </si>
  <si>
    <t>Зимовец</t>
  </si>
  <si>
    <t>г. Тосно, ДЮСШ №1</t>
  </si>
  <si>
    <t>Зинатуллина</t>
  </si>
  <si>
    <t>Зинцов</t>
  </si>
  <si>
    <t>Зинченко</t>
  </si>
  <si>
    <t>Злобин</t>
  </si>
  <si>
    <t>Знакова</t>
  </si>
  <si>
    <t>Илона</t>
  </si>
  <si>
    <t>Золина</t>
  </si>
  <si>
    <t>Золотенков</t>
  </si>
  <si>
    <t>Зорин</t>
  </si>
  <si>
    <t>г. Глазов, ДЮСШ №1</t>
  </si>
  <si>
    <t>Зорькин</t>
  </si>
  <si>
    <t>Зотов</t>
  </si>
  <si>
    <t>Зотова</t>
  </si>
  <si>
    <t>г. Екатеринбург, ДЮСШ ВИР, Динамо</t>
  </si>
  <si>
    <t>Зубаиров</t>
  </si>
  <si>
    <t>Данис</t>
  </si>
  <si>
    <t>Зубарев</t>
  </si>
  <si>
    <t>Зубарева</t>
  </si>
  <si>
    <t>Зубков</t>
  </si>
  <si>
    <t>Зубова</t>
  </si>
  <si>
    <t>Архангельск, ГАУ "СШОР "Поморье", ЦСКА</t>
  </si>
  <si>
    <t>Зуйков</t>
  </si>
  <si>
    <t>Зыкин</t>
  </si>
  <si>
    <t>Зырянов</t>
  </si>
  <si>
    <t>Зырянова</t>
  </si>
  <si>
    <t>Зюзин</t>
  </si>
  <si>
    <t>Зяблов</t>
  </si>
  <si>
    <t>Ибатуллин</t>
  </si>
  <si>
    <t>Ибрагимов</t>
  </si>
  <si>
    <t>Ибраимов</t>
  </si>
  <si>
    <t>Эмирсуин</t>
  </si>
  <si>
    <t>Ибяева</t>
  </si>
  <si>
    <t>Иванилов</t>
  </si>
  <si>
    <t>Иванов</t>
  </si>
  <si>
    <t>Артемий</t>
  </si>
  <si>
    <t>Ямало-Ненецкий АО - Курганская область</t>
  </si>
  <si>
    <t>Республика Башкортостан - Саратовская область</t>
  </si>
  <si>
    <t>г. Нягань, БУ ХМАО-Югры "ЦСПСКЮ"</t>
  </si>
  <si>
    <t>Владимир, МБУ "СШОР № 3"</t>
  </si>
  <si>
    <t>Иванова</t>
  </si>
  <si>
    <t>Августина</t>
  </si>
  <si>
    <t>Тюменская область - Тюменская область</t>
  </si>
  <si>
    <t>Амина</t>
  </si>
  <si>
    <t>Санкт-Петербург, ГБУ СШОР по Л.В.С.</t>
  </si>
  <si>
    <t>Иванчиков</t>
  </si>
  <si>
    <t>Иванчикова</t>
  </si>
  <si>
    <t>р.п. Любинский, БОУ ДО "ЦДО" Любинского МР</t>
  </si>
  <si>
    <t>Ивашкова</t>
  </si>
  <si>
    <t>Ивленкова</t>
  </si>
  <si>
    <t>Ивукова</t>
  </si>
  <si>
    <t>Ивченко</t>
  </si>
  <si>
    <t>Игнатенко</t>
  </si>
  <si>
    <t>Игнатюк</t>
  </si>
  <si>
    <t>Играев</t>
  </si>
  <si>
    <t>Идинов</t>
  </si>
  <si>
    <t>Извеков</t>
  </si>
  <si>
    <t>Иконников</t>
  </si>
  <si>
    <t>Иркутск, ДЮСШ №3</t>
  </si>
  <si>
    <t>Илларионова</t>
  </si>
  <si>
    <t>Ильенкова</t>
  </si>
  <si>
    <t>Ильина</t>
  </si>
  <si>
    <t>Ильиных</t>
  </si>
  <si>
    <t>ХМАО-Югра - Тюменская область</t>
  </si>
  <si>
    <t>г. Ханты-Мансийск, БУ ХМАО-Югры "ЦСПСКЮ", ЦСКА</t>
  </si>
  <si>
    <t>Ильичёв</t>
  </si>
  <si>
    <t>Ильченко</t>
  </si>
  <si>
    <t>Святослав</t>
  </si>
  <si>
    <t>Ильчибаева</t>
  </si>
  <si>
    <t>Илюхин</t>
  </si>
  <si>
    <t>Череповец, МАУ "СШ №4"</t>
  </si>
  <si>
    <t>Имаев</t>
  </si>
  <si>
    <t>Имангулова</t>
  </si>
  <si>
    <t>Имельбаева</t>
  </si>
  <si>
    <t>Элина</t>
  </si>
  <si>
    <t>Инютина</t>
  </si>
  <si>
    <t>Ионов</t>
  </si>
  <si>
    <t>г. Череповец, МАУ "СШ №4"</t>
  </si>
  <si>
    <t>Иродов</t>
  </si>
  <si>
    <t>Новосибирская область - Республика Алтай</t>
  </si>
  <si>
    <t>Ирулик</t>
  </si>
  <si>
    <t>Исаева</t>
  </si>
  <si>
    <t>Исайкин</t>
  </si>
  <si>
    <t>Исамагомедова</t>
  </si>
  <si>
    <t>Камилла</t>
  </si>
  <si>
    <t>Исламов</t>
  </si>
  <si>
    <t>Азгар</t>
  </si>
  <si>
    <t>Исламова</t>
  </si>
  <si>
    <t>Эльвина</t>
  </si>
  <si>
    <t>Истамгулов</t>
  </si>
  <si>
    <t>Истомина</t>
  </si>
  <si>
    <t>Исхаков</t>
  </si>
  <si>
    <t>Междуреченский, МБУ ДО СДЮШОР по биатлону</t>
  </si>
  <si>
    <t>Ичетовкин</t>
  </si>
  <si>
    <t>Ишмухаметов</t>
  </si>
  <si>
    <t>г. Златоуст, МАУ СШОР №1 им. С.И. Ишмуратовой</t>
  </si>
  <si>
    <t>Ишпаев</t>
  </si>
  <si>
    <t>Ищенко</t>
  </si>
  <si>
    <t>Кабанов</t>
  </si>
  <si>
    <t>Кабардин</t>
  </si>
  <si>
    <t>Кабова</t>
  </si>
  <si>
    <t>Кадникова</t>
  </si>
  <si>
    <t>Казакевич</t>
  </si>
  <si>
    <t>г. Екатеринбург, УОР №1, ЦСКА</t>
  </si>
  <si>
    <t>Казаков</t>
  </si>
  <si>
    <t>Кемеровская область</t>
  </si>
  <si>
    <t>КЕМ</t>
  </si>
  <si>
    <t>Кемерово, ГБФСУ  "СШОР Кузбасса по зимним видам спорта"</t>
  </si>
  <si>
    <t>Казакова</t>
  </si>
  <si>
    <t>Казаку</t>
  </si>
  <si>
    <t>Казанцев</t>
  </si>
  <si>
    <t>Казрагис</t>
  </si>
  <si>
    <t>Канск, МБУ СШ им. В.И.Стольникова</t>
  </si>
  <si>
    <t>Казымов</t>
  </si>
  <si>
    <t>Кайнаров</t>
  </si>
  <si>
    <t>Еламан</t>
  </si>
  <si>
    <t>Кайшева</t>
  </si>
  <si>
    <t>Ижевск, БУ УР "ССШОР по биатлону", ЦСКА</t>
  </si>
  <si>
    <t>Ижевск, АУ УР "ЦСП", ЦСКА</t>
  </si>
  <si>
    <t>Какулин</t>
  </si>
  <si>
    <t>Калабин</t>
  </si>
  <si>
    <t>г. Чайковский, ФГБОУ ВО "ЧГИФК"</t>
  </si>
  <si>
    <t>Калачев</t>
  </si>
  <si>
    <t>Калачева</t>
  </si>
  <si>
    <t>г. Ульяновск, МБУ "СШОР "Рингстар"</t>
  </si>
  <si>
    <t>Калашников</t>
  </si>
  <si>
    <t>Калашникова</t>
  </si>
  <si>
    <t>Каледина</t>
  </si>
  <si>
    <t>Калимуллин</t>
  </si>
  <si>
    <t>Калин</t>
  </si>
  <si>
    <t>Калина</t>
  </si>
  <si>
    <t>д.Смолянка, ГБУ ДО ПО "Центр подготовки спортсменов по лыжным гонкам и биатлону", Динамо</t>
  </si>
  <si>
    <t>Калинин</t>
  </si>
  <si>
    <t>Ленинградская область - Вологодская область</t>
  </si>
  <si>
    <t>пгт. им. Морозова ЛО, ГАУ ЛО ЦСП, ЦСКА</t>
  </si>
  <si>
    <t>Калинина</t>
  </si>
  <si>
    <t>Любовь</t>
  </si>
  <si>
    <t>Калинкин</t>
  </si>
  <si>
    <t>Калинкина</t>
  </si>
  <si>
    <t>Калинская</t>
  </si>
  <si>
    <t>Калугина</t>
  </si>
  <si>
    <t>Калякин</t>
  </si>
  <si>
    <t>Марк</t>
  </si>
  <si>
    <t>Калякина</t>
  </si>
  <si>
    <t>Камалетдинова</t>
  </si>
  <si>
    <t>Галия</t>
  </si>
  <si>
    <t>Камалов</t>
  </si>
  <si>
    <t>Каминский</t>
  </si>
  <si>
    <t>Канаков</t>
  </si>
  <si>
    <t>Кандалов</t>
  </si>
  <si>
    <t>Канев</t>
  </si>
  <si>
    <t>Канталов</t>
  </si>
  <si>
    <t>Риваль</t>
  </si>
  <si>
    <t>Канцер</t>
  </si>
  <si>
    <t>Канюков</t>
  </si>
  <si>
    <t>Капитонов</t>
  </si>
  <si>
    <t>Каплина</t>
  </si>
  <si>
    <t>Октябрьский район, БУ ХМАО-Югры "ЦСПСКЮ"</t>
  </si>
  <si>
    <t>Капранов</t>
  </si>
  <si>
    <t>Капров</t>
  </si>
  <si>
    <t>г. Томск, ТГАСУ</t>
  </si>
  <si>
    <t>Капустин</t>
  </si>
  <si>
    <t>Карабанов</t>
  </si>
  <si>
    <t>Караваев</t>
  </si>
  <si>
    <t>Каракчиева</t>
  </si>
  <si>
    <t>Караман</t>
  </si>
  <si>
    <t>Караматдинов</t>
  </si>
  <si>
    <t>Давид</t>
  </si>
  <si>
    <t>Карамнов</t>
  </si>
  <si>
    <t>Карамышева</t>
  </si>
  <si>
    <t>Карасов</t>
  </si>
  <si>
    <t>Карачев</t>
  </si>
  <si>
    <t>Караченцев</t>
  </si>
  <si>
    <t>Кардапольцева</t>
  </si>
  <si>
    <t>Каримов</t>
  </si>
  <si>
    <t>Карнаушевская</t>
  </si>
  <si>
    <t>Карошина</t>
  </si>
  <si>
    <t>Карпеев</t>
  </si>
  <si>
    <t>Карпов</t>
  </si>
  <si>
    <t>Карпова</t>
  </si>
  <si>
    <t>Карпович</t>
  </si>
  <si>
    <t>Новосибирская область - Томская область </t>
  </si>
  <si>
    <t>Карташев</t>
  </si>
  <si>
    <t>Карякин</t>
  </si>
  <si>
    <t>Мурманск, ГАУМО "МОСШОР по ЗВС", Динамо</t>
  </si>
  <si>
    <t>Касюкевич</t>
  </si>
  <si>
    <t>Волгореченск, АНО "ДЮСК "Биатлон"</t>
  </si>
  <si>
    <t>Катышева</t>
  </si>
  <si>
    <t>Качалов</t>
  </si>
  <si>
    <t>Кашичкин</t>
  </si>
  <si>
    <t>Кашуба</t>
  </si>
  <si>
    <t>Кащеев</t>
  </si>
  <si>
    <t>Каюмов</t>
  </si>
  <si>
    <t>Рустам</t>
  </si>
  <si>
    <t>Кербик</t>
  </si>
  <si>
    <t>Кесин</t>
  </si>
  <si>
    <t>Кесина</t>
  </si>
  <si>
    <t>Балаково, МАУ СШ "Юность"</t>
  </si>
  <si>
    <t>Кибзий</t>
  </si>
  <si>
    <t>Килин</t>
  </si>
  <si>
    <t>Ким</t>
  </si>
  <si>
    <t>Киреев</t>
  </si>
  <si>
    <t>г. Сокол, БОУ ДОД СМР ДЮСШ №1 "Сухона"</t>
  </si>
  <si>
    <t>Киреева</t>
  </si>
  <si>
    <t>Кириллов</t>
  </si>
  <si>
    <t>Кирильчук</t>
  </si>
  <si>
    <t>Кириченко</t>
  </si>
  <si>
    <t>Кирпичникова</t>
  </si>
  <si>
    <t>Кирсанов</t>
  </si>
  <si>
    <t>Кирсанова</t>
  </si>
  <si>
    <t>Антонина</t>
  </si>
  <si>
    <t>Кисарин</t>
  </si>
  <si>
    <t>Киселев</t>
  </si>
  <si>
    <t>Киселева</t>
  </si>
  <si>
    <t>Кислов</t>
  </si>
  <si>
    <t>Кладенок</t>
  </si>
  <si>
    <t>Клановец</t>
  </si>
  <si>
    <t>д.Смолянка, ГБУ ДО ПО "Центр подготовки спортсменов по лыжным гонкам и биатлону"</t>
  </si>
  <si>
    <t>Классен</t>
  </si>
  <si>
    <t>Клевцова</t>
  </si>
  <si>
    <t>Клепиков</t>
  </si>
  <si>
    <t>Клепинин</t>
  </si>
  <si>
    <t>Клименко</t>
  </si>
  <si>
    <t>Климентов</t>
  </si>
  <si>
    <t>Климов</t>
  </si>
  <si>
    <t>Климова</t>
  </si>
  <si>
    <t>Клопотная</t>
  </si>
  <si>
    <t>Клягин</t>
  </si>
  <si>
    <t>Князев</t>
  </si>
  <si>
    <t>Князева</t>
  </si>
  <si>
    <t>Кобилова</t>
  </si>
  <si>
    <t>Ковалев</t>
  </si>
  <si>
    <t>Ковалева</t>
  </si>
  <si>
    <t>Коваленко</t>
  </si>
  <si>
    <t>Ковальчук</t>
  </si>
  <si>
    <t>Ковкель</t>
  </si>
  <si>
    <t>Кожевников</t>
  </si>
  <si>
    <t>Кожемякин</t>
  </si>
  <si>
    <t>Коженкова</t>
  </si>
  <si>
    <t>Кожуханцева</t>
  </si>
  <si>
    <t>Евдокия</t>
  </si>
  <si>
    <t>Козак</t>
  </si>
  <si>
    <t>Козачук</t>
  </si>
  <si>
    <t>Козин</t>
  </si>
  <si>
    <t>Козликин</t>
  </si>
  <si>
    <t>Козлов</t>
  </si>
  <si>
    <t>Козлова</t>
  </si>
  <si>
    <t>Козулин</t>
  </si>
  <si>
    <t>Козырев</t>
  </si>
  <si>
    <t>Козырева</t>
  </si>
  <si>
    <t>Козьмин</t>
  </si>
  <si>
    <t>Койнов</t>
  </si>
  <si>
    <t>Кокарев</t>
  </si>
  <si>
    <t>Томари, МБУ СШ г. Томари</t>
  </si>
  <si>
    <t>Кокорин</t>
  </si>
  <si>
    <t>Коктышев</t>
  </si>
  <si>
    <t>Кокшаров</t>
  </si>
  <si>
    <t>Колмакова</t>
  </si>
  <si>
    <t>Коломиец</t>
  </si>
  <si>
    <t>Филипп</t>
  </si>
  <si>
    <t>Колосов</t>
  </si>
  <si>
    <t>Колотов</t>
  </si>
  <si>
    <t>Колпакова</t>
  </si>
  <si>
    <t>г.о. Химки, МАУ "СШ по ЗВС"</t>
  </si>
  <si>
    <t>Колтаков</t>
  </si>
  <si>
    <t>Колтакова</t>
  </si>
  <si>
    <t>Колташ</t>
  </si>
  <si>
    <t>Кольцов</t>
  </si>
  <si>
    <t>Комаров</t>
  </si>
  <si>
    <t>Комарова</t>
  </si>
  <si>
    <t>Комбаров</t>
  </si>
  <si>
    <t>Комерзан</t>
  </si>
  <si>
    <t>Комиссаров</t>
  </si>
  <si>
    <t>Комлева</t>
  </si>
  <si>
    <t>Компанистов</t>
  </si>
  <si>
    <t>Кондратьев</t>
  </si>
  <si>
    <t>Кондрашов</t>
  </si>
  <si>
    <t>Конев</t>
  </si>
  <si>
    <t>Конина</t>
  </si>
  <si>
    <t>Дарина</t>
  </si>
  <si>
    <t>Конищев</t>
  </si>
  <si>
    <t>Конкин</t>
  </si>
  <si>
    <t>Коннова</t>
  </si>
  <si>
    <t>Коновалов</t>
  </si>
  <si>
    <t>Савелий</t>
  </si>
  <si>
    <t>Каменск Уральский, УОР №1</t>
  </si>
  <si>
    <t>Коновалова</t>
  </si>
  <si>
    <t>Красноярский край - Забайкальский край</t>
  </si>
  <si>
    <t>Константинов</t>
  </si>
  <si>
    <t>Копелов</t>
  </si>
  <si>
    <t>Копнина</t>
  </si>
  <si>
    <t>Копорулина</t>
  </si>
  <si>
    <t>Копотева</t>
  </si>
  <si>
    <t>Копченов</t>
  </si>
  <si>
    <t>Копылов</t>
  </si>
  <si>
    <t>Копырина</t>
  </si>
  <si>
    <t>Копытько</t>
  </si>
  <si>
    <t>Корабель</t>
  </si>
  <si>
    <t>Кораблева</t>
  </si>
  <si>
    <t>г. Соликамск, МБУ "СШОР "Олимпиец"</t>
  </si>
  <si>
    <t>Корастылев</t>
  </si>
  <si>
    <t>Корел</t>
  </si>
  <si>
    <t>Коренева</t>
  </si>
  <si>
    <t>Корепанов</t>
  </si>
  <si>
    <t>Коркина</t>
  </si>
  <si>
    <t>Коркунов</t>
  </si>
  <si>
    <t>Корлыханов</t>
  </si>
  <si>
    <t>Корнев</t>
  </si>
  <si>
    <t>Корнева</t>
  </si>
  <si>
    <t>г. Новоуральск, СК "Кедр" НГО</t>
  </si>
  <si>
    <t>Корнеева</t>
  </si>
  <si>
    <t>Корнекшева</t>
  </si>
  <si>
    <t>Протвино, МАУ "СШ №2" г. Протвино</t>
  </si>
  <si>
    <t>Коробейников</t>
  </si>
  <si>
    <t>Коробейникова</t>
  </si>
  <si>
    <t>Коробенкова</t>
  </si>
  <si>
    <t>Коробкин</t>
  </si>
  <si>
    <t>Коробов</t>
  </si>
  <si>
    <t>Анжеро-Судженск, МБ ФСУ "СШОР" Анжеро-Судженск</t>
  </si>
  <si>
    <t>Коробова</t>
  </si>
  <si>
    <t>Великий Устюг, МБУ ДО "ДЮСШ г.Великий Устюг"</t>
  </si>
  <si>
    <t>Коровин</t>
  </si>
  <si>
    <t>Королев</t>
  </si>
  <si>
    <t>Королева</t>
  </si>
  <si>
    <t>Коротаева</t>
  </si>
  <si>
    <t>Коротков</t>
  </si>
  <si>
    <t>Корпик</t>
  </si>
  <si>
    <t>Корчуганова</t>
  </si>
  <si>
    <t>Коршакова</t>
  </si>
  <si>
    <t>Лилия</t>
  </si>
  <si>
    <t>Коршунов</t>
  </si>
  <si>
    <t>Корюков</t>
  </si>
  <si>
    <t>Корякин</t>
  </si>
  <si>
    <t>Косарева</t>
  </si>
  <si>
    <t>Косачёв</t>
  </si>
  <si>
    <t>Косвинцев</t>
  </si>
  <si>
    <t>Косенкова</t>
  </si>
  <si>
    <t>Косимцева</t>
  </si>
  <si>
    <t>Коскова</t>
  </si>
  <si>
    <t>Костюк</t>
  </si>
  <si>
    <t>Костюков</t>
  </si>
  <si>
    <t>Косулин</t>
  </si>
  <si>
    <t>Косыгин</t>
  </si>
  <si>
    <t>Котов</t>
  </si>
  <si>
    <t>Котова</t>
  </si>
  <si>
    <t>Инна</t>
  </si>
  <si>
    <t>Котовский</t>
  </si>
  <si>
    <t>Коурова</t>
  </si>
  <si>
    <t>Кох</t>
  </si>
  <si>
    <t>Кочев</t>
  </si>
  <si>
    <t>п. Солнечный, МАУ СП "СШОР" Сургутского района</t>
  </si>
  <si>
    <t>Кочегаров</t>
  </si>
  <si>
    <t>г. Рыбинск, МАУ СШОР № 4</t>
  </si>
  <si>
    <t>Кочедыкова</t>
  </si>
  <si>
    <t>Кочергин</t>
  </si>
  <si>
    <t>Кочетков</t>
  </si>
  <si>
    <t>Кочеткова</t>
  </si>
  <si>
    <t>Кочетова</t>
  </si>
  <si>
    <t>Кравченко</t>
  </si>
  <si>
    <t>Крайзман</t>
  </si>
  <si>
    <t>Крайнов</t>
  </si>
  <si>
    <t>Красилов</t>
  </si>
  <si>
    <t>Краснобояров</t>
  </si>
  <si>
    <t>Снежинск, МОУДО "ДЮСШ "Олимпия"</t>
  </si>
  <si>
    <t>Краснов</t>
  </si>
  <si>
    <t>Краснова</t>
  </si>
  <si>
    <t>Красногорова</t>
  </si>
  <si>
    <t>Красноперов</t>
  </si>
  <si>
    <t>Красноперова</t>
  </si>
  <si>
    <t>Красюк</t>
  </si>
  <si>
    <t>Креденцер</t>
  </si>
  <si>
    <t>Кремнев</t>
  </si>
  <si>
    <t>Кретова</t>
  </si>
  <si>
    <t>Кривзун</t>
  </si>
  <si>
    <t>Кривова</t>
  </si>
  <si>
    <t>Республика Мордовия - Саратовская область</t>
  </si>
  <si>
    <t>Кривошеева</t>
  </si>
  <si>
    <t>Кричун</t>
  </si>
  <si>
    <t>Ленинградская область - Саратовская область</t>
  </si>
  <si>
    <t>пгт. Морозова, ГАУ ЛО ЦСП, ЦСКА</t>
  </si>
  <si>
    <t>Кропотина</t>
  </si>
  <si>
    <t>Кротова</t>
  </si>
  <si>
    <t>Крохин</t>
  </si>
  <si>
    <t>Кругова</t>
  </si>
  <si>
    <t>Крупина</t>
  </si>
  <si>
    <t>Крупская</t>
  </si>
  <si>
    <t>Крутов</t>
  </si>
  <si>
    <t>Кручинкина</t>
  </si>
  <si>
    <t>Крылов</t>
  </si>
  <si>
    <t>Крыцов</t>
  </si>
  <si>
    <t>Крюков</t>
  </si>
  <si>
    <t>Крюкова</t>
  </si>
  <si>
    <t>Крячко</t>
  </si>
  <si>
    <t>Ксенофонтов</t>
  </si>
  <si>
    <t>Кувакин</t>
  </si>
  <si>
    <t>Кугаевский</t>
  </si>
  <si>
    <t>Куганов</t>
  </si>
  <si>
    <t>Кугубаев</t>
  </si>
  <si>
    <t>Кудисова</t>
  </si>
  <si>
    <t>Кудишин</t>
  </si>
  <si>
    <t>Кудрявцев</t>
  </si>
  <si>
    <t>г. Петрозаводск, СШОРК (СКА), ВС РФ</t>
  </si>
  <si>
    <t>Кудряшов</t>
  </si>
  <si>
    <t>Кузелина</t>
  </si>
  <si>
    <t>Кузнецов</t>
  </si>
  <si>
    <t>Северск, ДЮСШ им. Л.Егоровой</t>
  </si>
  <si>
    <t>Кузнецова</t>
  </si>
  <si>
    <t>Кузовкин</t>
  </si>
  <si>
    <t>Кузьмин</t>
  </si>
  <si>
    <t>Кузьмина</t>
  </si>
  <si>
    <t>Кузьминых</t>
  </si>
  <si>
    <t>Куклина</t>
  </si>
  <si>
    <t>Лариса</t>
  </si>
  <si>
    <t>Кулакова</t>
  </si>
  <si>
    <t>Кулебякин</t>
  </si>
  <si>
    <t>Кулеш</t>
  </si>
  <si>
    <t>Кулешов</t>
  </si>
  <si>
    <t>Кулешова</t>
  </si>
  <si>
    <t>Кулигина</t>
  </si>
  <si>
    <t>Куликов</t>
  </si>
  <si>
    <t>Кулинич</t>
  </si>
  <si>
    <t>Кульгускин</t>
  </si>
  <si>
    <t>Кульков</t>
  </si>
  <si>
    <t>Кульман</t>
  </si>
  <si>
    <t>г. Канск, МБУ СШ им. В.И.Стольникова</t>
  </si>
  <si>
    <t>Куляев</t>
  </si>
  <si>
    <t>Кунаева</t>
  </si>
  <si>
    <t>Кунеш</t>
  </si>
  <si>
    <t>Кунилова</t>
  </si>
  <si>
    <t>Купреев</t>
  </si>
  <si>
    <t>Куприянов</t>
  </si>
  <si>
    <t>Куприянова</t>
  </si>
  <si>
    <t>Курбатова</t>
  </si>
  <si>
    <t>Курганова</t>
  </si>
  <si>
    <t>Куренков</t>
  </si>
  <si>
    <t>Куриленок</t>
  </si>
  <si>
    <t>Курицын</t>
  </si>
  <si>
    <t>Курлыкина</t>
  </si>
  <si>
    <t>Курмаков</t>
  </si>
  <si>
    <t>Куршева</t>
  </si>
  <si>
    <t>Курятникова</t>
  </si>
  <si>
    <t>Кускова</t>
  </si>
  <si>
    <t>Кустиков</t>
  </si>
  <si>
    <t>Кустов</t>
  </si>
  <si>
    <t>г. Вологда, МБУДО "ДЮСШ по ЗВС"</t>
  </si>
  <si>
    <t>Кутузов</t>
  </si>
  <si>
    <t>Кушнарев</t>
  </si>
  <si>
    <t>Кушнир</t>
  </si>
  <si>
    <t>Максимилиан</t>
  </si>
  <si>
    <t>Лабутина</t>
  </si>
  <si>
    <t>Лавренова</t>
  </si>
  <si>
    <t>Лаврентьева</t>
  </si>
  <si>
    <t>Лаврухин</t>
  </si>
  <si>
    <t>Лаврушин</t>
  </si>
  <si>
    <t>Аким</t>
  </si>
  <si>
    <t>Лазарев</t>
  </si>
  <si>
    <t>Лангуева</t>
  </si>
  <si>
    <t>Дана</t>
  </si>
  <si>
    <t>Ланкин</t>
  </si>
  <si>
    <t>Лапаник</t>
  </si>
  <si>
    <t>Лапина</t>
  </si>
  <si>
    <t>село Выльгорт, ГАУ РК "ЦСПСК"</t>
  </si>
  <si>
    <t>Лапихин</t>
  </si>
  <si>
    <t>Лаптев</t>
  </si>
  <si>
    <t>Лаптева</t>
  </si>
  <si>
    <t>Лапутина</t>
  </si>
  <si>
    <t>Латыпов</t>
  </si>
  <si>
    <t>Амаль</t>
  </si>
  <si>
    <t>Латыпова</t>
  </si>
  <si>
    <t>Виталина</t>
  </si>
  <si>
    <t>Лафуткин</t>
  </si>
  <si>
    <t>Лебедев</t>
  </si>
  <si>
    <t>Псков, ЦСП, Динамо</t>
  </si>
  <si>
    <t>Лебедева</t>
  </si>
  <si>
    <t>Левин</t>
  </si>
  <si>
    <t>Левина</t>
  </si>
  <si>
    <t>Легачев</t>
  </si>
  <si>
    <t>Легостаева</t>
  </si>
  <si>
    <t>Легу</t>
  </si>
  <si>
    <t>Леденева</t>
  </si>
  <si>
    <t>Москва, СШОР "Юность Москвы" по ЛВС "Буревестник", Буревестник</t>
  </si>
  <si>
    <t>Лейниш</t>
  </si>
  <si>
    <t>Ленькова</t>
  </si>
  <si>
    <t>Леоненко</t>
  </si>
  <si>
    <t>Леонова</t>
  </si>
  <si>
    <t>Нелли</t>
  </si>
  <si>
    <t>Леонтьев</t>
  </si>
  <si>
    <t>Лепешков</t>
  </si>
  <si>
    <t>Лесков</t>
  </si>
  <si>
    <t>Красноярск, ДКИОР</t>
  </si>
  <si>
    <t>Лесников</t>
  </si>
  <si>
    <t>Лещева</t>
  </si>
  <si>
    <t>Лившина</t>
  </si>
  <si>
    <t>Лимонников</t>
  </si>
  <si>
    <t>Лисин</t>
  </si>
  <si>
    <t>Лисицын</t>
  </si>
  <si>
    <t>Литвинова</t>
  </si>
  <si>
    <t>Литенко</t>
  </si>
  <si>
    <t>Анастсия</t>
  </si>
  <si>
    <t>Литовченко</t>
  </si>
  <si>
    <t>Лихачева</t>
  </si>
  <si>
    <t>Лихограев</t>
  </si>
  <si>
    <t>Лихотин</t>
  </si>
  <si>
    <t>Лобанов</t>
  </si>
  <si>
    <t>Лобанова</t>
  </si>
  <si>
    <t>Лобов</t>
  </si>
  <si>
    <t>Лобова</t>
  </si>
  <si>
    <t>Логвиненко</t>
  </si>
  <si>
    <t>Логинов</t>
  </si>
  <si>
    <t>Логинова</t>
  </si>
  <si>
    <t>Логиновских</t>
  </si>
  <si>
    <t>Правдинский, МБУ "СШ по биатлону им. А.Елизарова ПМР МО", Динамо</t>
  </si>
  <si>
    <t>Локтионов</t>
  </si>
  <si>
    <t>Ломаева</t>
  </si>
  <si>
    <t>Лопаева</t>
  </si>
  <si>
    <t>Лопатин</t>
  </si>
  <si>
    <t>Лопатина</t>
  </si>
  <si>
    <t>Лорей</t>
  </si>
  <si>
    <t>Лосева</t>
  </si>
  <si>
    <t>Лубенец</t>
  </si>
  <si>
    <t>Лубошникова</t>
  </si>
  <si>
    <t>Лугинин</t>
  </si>
  <si>
    <t>Лузина</t>
  </si>
  <si>
    <t>Лукин</t>
  </si>
  <si>
    <t>Лукина</t>
  </si>
  <si>
    <t>Лукманов</t>
  </si>
  <si>
    <t>Лукова</t>
  </si>
  <si>
    <t>Луконина</t>
  </si>
  <si>
    <t>Лукошкова</t>
  </si>
  <si>
    <t>Лукьянов</t>
  </si>
  <si>
    <t>Лукьянчиков</t>
  </si>
  <si>
    <t>Лунев</t>
  </si>
  <si>
    <t>Lunev</t>
  </si>
  <si>
    <t>Danil</t>
  </si>
  <si>
    <t>Лунева</t>
  </si>
  <si>
    <t>Лунина</t>
  </si>
  <si>
    <t>Лупандина</t>
  </si>
  <si>
    <t>Лустенко</t>
  </si>
  <si>
    <t>Лыгина</t>
  </si>
  <si>
    <t>Лыкова</t>
  </si>
  <si>
    <t>Милана</t>
  </si>
  <si>
    <t>Лылова</t>
  </si>
  <si>
    <t>Лынов</t>
  </si>
  <si>
    <t>Лысых</t>
  </si>
  <si>
    <t>Львов</t>
  </si>
  <si>
    <t>Люлина</t>
  </si>
  <si>
    <t>Люшина</t>
  </si>
  <si>
    <t>Лялин</t>
  </si>
  <si>
    <t>Киров, КОГАУ СШОР "Перекоп"</t>
  </si>
  <si>
    <t>Ляляев</t>
  </si>
  <si>
    <t>Ляпустин</t>
  </si>
  <si>
    <t>Ляхманов</t>
  </si>
  <si>
    <t>Ляхов</t>
  </si>
  <si>
    <t>Ляховский</t>
  </si>
  <si>
    <t>Ляцкий</t>
  </si>
  <si>
    <t>Ляшок</t>
  </si>
  <si>
    <t>Магомедова</t>
  </si>
  <si>
    <t>Эльмира</t>
  </si>
  <si>
    <t>Мазанова</t>
  </si>
  <si>
    <t>Мазнина</t>
  </si>
  <si>
    <t>Мазур</t>
  </si>
  <si>
    <t>Майбах</t>
  </si>
  <si>
    <t>Майдола</t>
  </si>
  <si>
    <t>Прохор</t>
  </si>
  <si>
    <t>Майнов</t>
  </si>
  <si>
    <t>Макаров</t>
  </si>
  <si>
    <t>г. Онега, Дворец спорта "Онега"</t>
  </si>
  <si>
    <t>Ижевск, АУ УР "ЦСП"</t>
  </si>
  <si>
    <t>Макарова</t>
  </si>
  <si>
    <t>Маклакова</t>
  </si>
  <si>
    <t>Маковеева</t>
  </si>
  <si>
    <t>г. Новый Уренгой, ГАУ ЯНАО "ЦОП", Динамо</t>
  </si>
  <si>
    <t>Максёмова</t>
  </si>
  <si>
    <t>Максименко</t>
  </si>
  <si>
    <t>Максимов</t>
  </si>
  <si>
    <t>Максимова</t>
  </si>
  <si>
    <t>Максимович</t>
  </si>
  <si>
    <t>Жанна</t>
  </si>
  <si>
    <t>Максимцов</t>
  </si>
  <si>
    <t>Малеев</t>
  </si>
  <si>
    <t>Богдан</t>
  </si>
  <si>
    <t>Малинко</t>
  </si>
  <si>
    <t>Малиновский</t>
  </si>
  <si>
    <t>Омская область - Камчатский край</t>
  </si>
  <si>
    <t>Малова</t>
  </si>
  <si>
    <t>Малойкин</t>
  </si>
  <si>
    <t>Малышев</t>
  </si>
  <si>
    <t>Малышкина</t>
  </si>
  <si>
    <t>Малышко</t>
  </si>
  <si>
    <t>Мальцев</t>
  </si>
  <si>
    <t>г. Омск, ФГБУ ПОО "Сибирское ГУОР"</t>
  </si>
  <si>
    <t>Мальцева</t>
  </si>
  <si>
    <t>Малюгин</t>
  </si>
  <si>
    <t>Мамакина</t>
  </si>
  <si>
    <t>Маматкулова</t>
  </si>
  <si>
    <t>Манапова</t>
  </si>
  <si>
    <t>Гульназ</t>
  </si>
  <si>
    <t>Манухин</t>
  </si>
  <si>
    <t>Манушин</t>
  </si>
  <si>
    <t>Манч</t>
  </si>
  <si>
    <t>Мараховец</t>
  </si>
  <si>
    <t>Маринина</t>
  </si>
  <si>
    <t>Маркелов</t>
  </si>
  <si>
    <t>Маркиданов</t>
  </si>
  <si>
    <t>Маркова</t>
  </si>
  <si>
    <t>Мартынов</t>
  </si>
  <si>
    <t>Марусова</t>
  </si>
  <si>
    <t>Марченко</t>
  </si>
  <si>
    <t>Маснюк</t>
  </si>
  <si>
    <t>р.п. Тевриз, БОУ ДО "Тевризский ДООФСЦ"</t>
  </si>
  <si>
    <t>Маташов</t>
  </si>
  <si>
    <t>Матвеев</t>
  </si>
  <si>
    <t>Матвеева</t>
  </si>
  <si>
    <t>Станислава</t>
  </si>
  <si>
    <t>Матерков</t>
  </si>
  <si>
    <t>Матказиев</t>
  </si>
  <si>
    <t>Шахрух</t>
  </si>
  <si>
    <t>Маторин</t>
  </si>
  <si>
    <t>Матренин</t>
  </si>
  <si>
    <t>Матросов</t>
  </si>
  <si>
    <t>Мафтуляк</t>
  </si>
  <si>
    <t>Махаев</t>
  </si>
  <si>
    <t>Махамбетов</t>
  </si>
  <si>
    <t>г. Красноярск, Академия биатлона, ВС РФ</t>
  </si>
  <si>
    <t>Махмутзянов</t>
  </si>
  <si>
    <t>Эмиль</t>
  </si>
  <si>
    <t>Мацаль</t>
  </si>
  <si>
    <t>Мацкевич</t>
  </si>
  <si>
    <t>Машковцев</t>
  </si>
  <si>
    <t>Машталер</t>
  </si>
  <si>
    <t>Машуков</t>
  </si>
  <si>
    <t>Медведев</t>
  </si>
  <si>
    <t>Омск, БУОО "РЦСП"</t>
  </si>
  <si>
    <t>Медведева</t>
  </si>
  <si>
    <t>Медведенко</t>
  </si>
  <si>
    <t>г. Протвино, МАУ "СШ №2" г. Протвино</t>
  </si>
  <si>
    <t>Медянец</t>
  </si>
  <si>
    <t>Мелентьев</t>
  </si>
  <si>
    <t>Меленцов</t>
  </si>
  <si>
    <t>Мелик-Карамов</t>
  </si>
  <si>
    <t>Мелина</t>
  </si>
  <si>
    <t>Мельникова</t>
  </si>
  <si>
    <t>Менделеев</t>
  </si>
  <si>
    <t>Меркульев</t>
  </si>
  <si>
    <t>Метеля</t>
  </si>
  <si>
    <t>Метленкин</t>
  </si>
  <si>
    <t>Метликин</t>
  </si>
  <si>
    <t>Мещаков</t>
  </si>
  <si>
    <t>Мещеряков</t>
  </si>
  <si>
    <t>Мещерякова</t>
  </si>
  <si>
    <t>Мизгирева</t>
  </si>
  <si>
    <t>Микрюков</t>
  </si>
  <si>
    <t>Микуров</t>
  </si>
  <si>
    <t>Микшина</t>
  </si>
  <si>
    <t>Милакумов</t>
  </si>
  <si>
    <t>Милиус</t>
  </si>
  <si>
    <t>Милица</t>
  </si>
  <si>
    <t>Миллер</t>
  </si>
  <si>
    <t>Миловкин</t>
  </si>
  <si>
    <t>Мильто</t>
  </si>
  <si>
    <t>Мильтых</t>
  </si>
  <si>
    <t>Минаева</t>
  </si>
  <si>
    <t>Миндиахметов</t>
  </si>
  <si>
    <t>Минибаев</t>
  </si>
  <si>
    <t>Минин</t>
  </si>
  <si>
    <t>Минина</t>
  </si>
  <si>
    <t>Минсадырова</t>
  </si>
  <si>
    <t>Минченко</t>
  </si>
  <si>
    <t>Бородино, Академия биатлона</t>
  </si>
  <si>
    <t>Мирзалиев</t>
  </si>
  <si>
    <t>Миронов</t>
  </si>
  <si>
    <t>Миронова</t>
  </si>
  <si>
    <t>Екатеринбург, УОР №1, ЦСКА</t>
  </si>
  <si>
    <t>Миронченко</t>
  </si>
  <si>
    <t>Мирошкин</t>
  </si>
  <si>
    <t>Мирошниченко</t>
  </si>
  <si>
    <t>Мисайлов</t>
  </si>
  <si>
    <t>Миськова</t>
  </si>
  <si>
    <t>Анжелика</t>
  </si>
  <si>
    <t>Митин</t>
  </si>
  <si>
    <t>Митрофанова</t>
  </si>
  <si>
    <t>Михайлапова</t>
  </si>
  <si>
    <t>Михайлина</t>
  </si>
  <si>
    <t>Михайлов</t>
  </si>
  <si>
    <t>Михайлова</t>
  </si>
  <si>
    <t>Михеев</t>
  </si>
  <si>
    <t>Новоуральск, ДЮСШ №4</t>
  </si>
  <si>
    <t>Мичурина</t>
  </si>
  <si>
    <t>Мишина</t>
  </si>
  <si>
    <t>Мишицев</t>
  </si>
  <si>
    <t>Мовсисян</t>
  </si>
  <si>
    <t>Можин</t>
  </si>
  <si>
    <t>Мозалевский</t>
  </si>
  <si>
    <t>Мозгов</t>
  </si>
  <si>
    <t>Мозговой</t>
  </si>
  <si>
    <t>Мозгунов</t>
  </si>
  <si>
    <t>Моисеева</t>
  </si>
  <si>
    <t>Мокроусов</t>
  </si>
  <si>
    <t>Мокрушин</t>
  </si>
  <si>
    <t>Мокрушина</t>
  </si>
  <si>
    <t>Молошникова</t>
  </si>
  <si>
    <t>Молчан</t>
  </si>
  <si>
    <t>Молчанов</t>
  </si>
  <si>
    <t>Ачинск, Академия биатлона</t>
  </si>
  <si>
    <t>Молявко</t>
  </si>
  <si>
    <t>Монарев</t>
  </si>
  <si>
    <t>Мордовин</t>
  </si>
  <si>
    <t>Моренков</t>
  </si>
  <si>
    <t>Морилов</t>
  </si>
  <si>
    <t>Мороз</t>
  </si>
  <si>
    <t>Морозов</t>
  </si>
  <si>
    <t>Морозова</t>
  </si>
  <si>
    <t>Мосева</t>
  </si>
  <si>
    <t>Мосиенко</t>
  </si>
  <si>
    <t>Мосин</t>
  </si>
  <si>
    <t>Москвина</t>
  </si>
  <si>
    <t>Мосолов</t>
  </si>
  <si>
    <t>Мотора</t>
  </si>
  <si>
    <t>Ачинск, МБУ "СШ им. Г.М. Мельниковой"</t>
  </si>
  <si>
    <t>Мохова</t>
  </si>
  <si>
    <t>Мошенина</t>
  </si>
  <si>
    <t>Мошкин</t>
  </si>
  <si>
    <t>Мошкина</t>
  </si>
  <si>
    <t>Мошкова</t>
  </si>
  <si>
    <t>Мощенкова</t>
  </si>
  <si>
    <t>Мужиков</t>
  </si>
  <si>
    <t>Мулюкова</t>
  </si>
  <si>
    <t>Муравьева</t>
  </si>
  <si>
    <t>Муралеев</t>
  </si>
  <si>
    <t>Муралеева</t>
  </si>
  <si>
    <t>г. Уфа, ГБУ СШОР по биатлону РБ, Динамо</t>
  </si>
  <si>
    <t>Мурашев</t>
  </si>
  <si>
    <t>Мурашко</t>
  </si>
  <si>
    <t>Мурдасова</t>
  </si>
  <si>
    <t>г. Миасс, МБУ "СШОР №4"</t>
  </si>
  <si>
    <t>Мурзагалеев</t>
  </si>
  <si>
    <t>Темирлан</t>
  </si>
  <si>
    <t>Мурланов</t>
  </si>
  <si>
    <t>Муромская</t>
  </si>
  <si>
    <t>Мусатов</t>
  </si>
  <si>
    <t>Мусатова</t>
  </si>
  <si>
    <t>Муслимова</t>
  </si>
  <si>
    <t>Мусохранова</t>
  </si>
  <si>
    <t>Мустафин</t>
  </si>
  <si>
    <t>Рустем</t>
  </si>
  <si>
    <t>г. Казань, ГБПОУ "КазУОР"</t>
  </si>
  <si>
    <t>Мустафина</t>
  </si>
  <si>
    <t>Эвелина</t>
  </si>
  <si>
    <t>Мухаматханова</t>
  </si>
  <si>
    <t>Мухамедзянов</t>
  </si>
  <si>
    <t>Ильназ</t>
  </si>
  <si>
    <t>г. Ижевск, АУ УР "ЦСП"</t>
  </si>
  <si>
    <t>Мухамедшина</t>
  </si>
  <si>
    <t>Мухаметшин</t>
  </si>
  <si>
    <t>Мухачев</t>
  </si>
  <si>
    <t>Мухин</t>
  </si>
  <si>
    <t>Мысев</t>
  </si>
  <si>
    <t>Мытарева</t>
  </si>
  <si>
    <t>Мышков</t>
  </si>
  <si>
    <t>Мягков</t>
  </si>
  <si>
    <t>Невьянск, УОР №1</t>
  </si>
  <si>
    <t>Мякишев</t>
  </si>
  <si>
    <t>Мяконький</t>
  </si>
  <si>
    <t>Мясников</t>
  </si>
  <si>
    <t>Елисей</t>
  </si>
  <si>
    <t>Набокова</t>
  </si>
  <si>
    <t>Нагаев</t>
  </si>
  <si>
    <t>Нагаева</t>
  </si>
  <si>
    <t>Нагорный</t>
  </si>
  <si>
    <t>Надеин</t>
  </si>
  <si>
    <t>Надиева</t>
  </si>
  <si>
    <t>Алсу</t>
  </si>
  <si>
    <t>Нажипова</t>
  </si>
  <si>
    <t>Назаров</t>
  </si>
  <si>
    <t>Назарова</t>
  </si>
  <si>
    <t>Назмутдинов</t>
  </si>
  <si>
    <t>Назыров</t>
  </si>
  <si>
    <t>Наливайко</t>
  </si>
  <si>
    <t>Наперсников</t>
  </si>
  <si>
    <t>Нарышкина</t>
  </si>
  <si>
    <t>Насекин</t>
  </si>
  <si>
    <t>Насотович</t>
  </si>
  <si>
    <t>Науменкова</t>
  </si>
  <si>
    <t>Наумов</t>
  </si>
  <si>
    <t>Неверов</t>
  </si>
  <si>
    <t>Неволайнен</t>
  </si>
  <si>
    <t>Санкт-Петербург - Республика Карелия</t>
  </si>
  <si>
    <t>Неворуев</t>
  </si>
  <si>
    <t>Петрозаводск, ГБУ РК "РСШОР", Динамо</t>
  </si>
  <si>
    <t>Незаметдинова</t>
  </si>
  <si>
    <t>Регина</t>
  </si>
  <si>
    <t>Нейгебауер</t>
  </si>
  <si>
    <t>Ижевск, БУ УР "ССШОР по биатлону", Юность России</t>
  </si>
  <si>
    <t>Неклюдова</t>
  </si>
  <si>
    <t>Некрасов</t>
  </si>
  <si>
    <t>Некрасова</t>
  </si>
  <si>
    <t>Нелин</t>
  </si>
  <si>
    <t>Немич</t>
  </si>
  <si>
    <t>Немкова</t>
  </si>
  <si>
    <t>г. Москва, ГБУ "СШОР № 43" Москомспорта</t>
  </si>
  <si>
    <t>Немов</t>
  </si>
  <si>
    <t>Немчинов</t>
  </si>
  <si>
    <t>Геннадий</t>
  </si>
  <si>
    <t>Непомилуева</t>
  </si>
  <si>
    <t>Непоп</t>
  </si>
  <si>
    <t>Таисия</t>
  </si>
  <si>
    <t>Нестеренко</t>
  </si>
  <si>
    <t>Нестеров</t>
  </si>
  <si>
    <t>Неуструев</t>
  </si>
  <si>
    <t>Нефёдов</t>
  </si>
  <si>
    <t>Нечаев</t>
  </si>
  <si>
    <t>Нечайкина</t>
  </si>
  <si>
    <t>Нечунаев</t>
  </si>
  <si>
    <t>Нигматуллов</t>
  </si>
  <si>
    <t>Азат</t>
  </si>
  <si>
    <t>Нижегородов</t>
  </si>
  <si>
    <t>Низовцева</t>
  </si>
  <si>
    <t>Никель</t>
  </si>
  <si>
    <t>Никитенко</t>
  </si>
  <si>
    <t>Никитин</t>
  </si>
  <si>
    <t>Никитина</t>
  </si>
  <si>
    <t>Никифоров</t>
  </si>
  <si>
    <t>Никифорова</t>
  </si>
  <si>
    <t>Николаев</t>
  </si>
  <si>
    <t>Никонов</t>
  </si>
  <si>
    <t>Никулина</t>
  </si>
  <si>
    <t>Никульшина</t>
  </si>
  <si>
    <t>Нилова</t>
  </si>
  <si>
    <t>Новиков</t>
  </si>
  <si>
    <t>Новикова</t>
  </si>
  <si>
    <t>Новичков</t>
  </si>
  <si>
    <t>Новоженина</t>
  </si>
  <si>
    <t>Новосибирск, ГАУ НСО "СШОР по биатлону", Локомотив</t>
  </si>
  <si>
    <t>Новожилов</t>
  </si>
  <si>
    <t>Новокрещенных</t>
  </si>
  <si>
    <t>Новокрещенова</t>
  </si>
  <si>
    <t>Новопашин</t>
  </si>
  <si>
    <t>Новосад</t>
  </si>
  <si>
    <t>Новосадов</t>
  </si>
  <si>
    <t>Новоселов</t>
  </si>
  <si>
    <t>Норин</t>
  </si>
  <si>
    <t>Носкова</t>
  </si>
  <si>
    <t>г. Нижневартовск, БУ ХМАО-Югры "ЦСПСКЮ"</t>
  </si>
  <si>
    <t>Носова</t>
  </si>
  <si>
    <t>Милена</t>
  </si>
  <si>
    <t>Носонова</t>
  </si>
  <si>
    <t>Носырева</t>
  </si>
  <si>
    <t>Нуждина</t>
  </si>
  <si>
    <t>Нурмухаметов</t>
  </si>
  <si>
    <t>Обедин</t>
  </si>
  <si>
    <t>Обрезков</t>
  </si>
  <si>
    <t>г. Бердск, ГАУ НСО "СШОР по биатлону"</t>
  </si>
  <si>
    <t>Обухова</t>
  </si>
  <si>
    <t>Овсянников</t>
  </si>
  <si>
    <t>Овчаренко</t>
  </si>
  <si>
    <t>Овчинников</t>
  </si>
  <si>
    <t>Овчинникова</t>
  </si>
  <si>
    <t>Огаркова</t>
  </si>
  <si>
    <t>Огорелков</t>
  </si>
  <si>
    <t>Огородников</t>
  </si>
  <si>
    <t>Пермь, КГАУ "СШОР "Старт", Динамо</t>
  </si>
  <si>
    <t>Одинаев</t>
  </si>
  <si>
    <t>Расул</t>
  </si>
  <si>
    <t>Оздоев</t>
  </si>
  <si>
    <t>Байсангур</t>
  </si>
  <si>
    <t>Озеров</t>
  </si>
  <si>
    <t>Окунев</t>
  </si>
  <si>
    <t>Оленников</t>
  </si>
  <si>
    <t>Омельченко</t>
  </si>
  <si>
    <t>Оплачкин</t>
  </si>
  <si>
    <t>Орехов</t>
  </si>
  <si>
    <t>Орешкина</t>
  </si>
  <si>
    <t>Орленко</t>
  </si>
  <si>
    <t>Орлов</t>
  </si>
  <si>
    <t>Орлова</t>
  </si>
  <si>
    <t>Осанова</t>
  </si>
  <si>
    <t>Осинцев</t>
  </si>
  <si>
    <t>Осинцева</t>
  </si>
  <si>
    <t>Осипова</t>
  </si>
  <si>
    <t>Осколков</t>
  </si>
  <si>
    <t>Осокин</t>
  </si>
  <si>
    <t>Остапий</t>
  </si>
  <si>
    <t>Острикова</t>
  </si>
  <si>
    <t>Оськин</t>
  </si>
  <si>
    <t>Охамук</t>
  </si>
  <si>
    <t>Охапкин</t>
  </si>
  <si>
    <t>Охотников</t>
  </si>
  <si>
    <t>Охохонин</t>
  </si>
  <si>
    <t>Курган, ГБУ «СШОР №1», ЦСКА</t>
  </si>
  <si>
    <t>Очеков</t>
  </si>
  <si>
    <t>Павлов</t>
  </si>
  <si>
    <t>Сургутский район, БУ ХМАО-Югры "ЦСПСКЮ", ЦСКА</t>
  </si>
  <si>
    <t>Павлова</t>
  </si>
  <si>
    <t>Мира</t>
  </si>
  <si>
    <t>г. Новосибирск, ГАУ НСО "СШОР по биатлону", ВС РФ</t>
  </si>
  <si>
    <t>Павлушина</t>
  </si>
  <si>
    <t>Павлюк</t>
  </si>
  <si>
    <t>Пагин</t>
  </si>
  <si>
    <t>Панаев</t>
  </si>
  <si>
    <t>Панасенко</t>
  </si>
  <si>
    <t>Панасюженков</t>
  </si>
  <si>
    <t>Пангин</t>
  </si>
  <si>
    <t>Пандо</t>
  </si>
  <si>
    <t>Панкратов</t>
  </si>
  <si>
    <t>Пантелеев</t>
  </si>
  <si>
    <t>Севастьян</t>
  </si>
  <si>
    <t>Пантелеева</t>
  </si>
  <si>
    <t>Пантова</t>
  </si>
  <si>
    <t>Панюшкин</t>
  </si>
  <si>
    <t>Папченкова</t>
  </si>
  <si>
    <t>Паранина</t>
  </si>
  <si>
    <t>Парфенов</t>
  </si>
  <si>
    <t>Парычев</t>
  </si>
  <si>
    <t>Пастухов</t>
  </si>
  <si>
    <t>Пастухова</t>
  </si>
  <si>
    <t>Паутов</t>
  </si>
  <si>
    <t>Паутова</t>
  </si>
  <si>
    <t>Пачин</t>
  </si>
  <si>
    <t>Пашин</t>
  </si>
  <si>
    <t>Пашков</t>
  </si>
  <si>
    <t>Пашковский</t>
  </si>
  <si>
    <t>Пашуто</t>
  </si>
  <si>
    <t>Пащенко</t>
  </si>
  <si>
    <t>Пётр</t>
  </si>
  <si>
    <t>г. Нижневартовск, БУ ХМАО-Югры "ЦСПСКЮ", ЦСКА</t>
  </si>
  <si>
    <t>Певнева</t>
  </si>
  <si>
    <t>Пеликов</t>
  </si>
  <si>
    <t>Пеннер</t>
  </si>
  <si>
    <t>Пеньевской</t>
  </si>
  <si>
    <t>Пепеляев</t>
  </si>
  <si>
    <t>Первушин</t>
  </si>
  <si>
    <t>Переводчиков</t>
  </si>
  <si>
    <t>Перевозчиков</t>
  </si>
  <si>
    <t>Перевозчикова</t>
  </si>
  <si>
    <t>Ижевск, МБУ СШ «Ижсталь»</t>
  </si>
  <si>
    <t>Перегудин</t>
  </si>
  <si>
    <t>Перегудова</t>
  </si>
  <si>
    <t>Пересецкий</t>
  </si>
  <si>
    <t>Переятенец</t>
  </si>
  <si>
    <t>Перина</t>
  </si>
  <si>
    <t>Онега, Дворец спорта "Онега"</t>
  </si>
  <si>
    <t>Перов</t>
  </si>
  <si>
    <t>Перонков</t>
  </si>
  <si>
    <t>Першиков</t>
  </si>
  <si>
    <t>Петров</t>
  </si>
  <si>
    <t>Чувашская Республика - Чувашская Республика</t>
  </si>
  <si>
    <t>Саранск, БУ "СШОР №2" Минспорта Чувашии, Динамо</t>
  </si>
  <si>
    <t>Кристиан</t>
  </si>
  <si>
    <t>Петрова</t>
  </si>
  <si>
    <t>Петрунова</t>
  </si>
  <si>
    <t>Петухова</t>
  </si>
  <si>
    <t>Петушкова</t>
  </si>
  <si>
    <t>Петяева</t>
  </si>
  <si>
    <t>Петяскин</t>
  </si>
  <si>
    <t>Печёнкин</t>
  </si>
  <si>
    <t>Печёнкина</t>
  </si>
  <si>
    <t>Печенцев</t>
  </si>
  <si>
    <t>Пешкова</t>
  </si>
  <si>
    <t>Пидстрела</t>
  </si>
  <si>
    <t>Пилецкий</t>
  </si>
  <si>
    <t>Пименов</t>
  </si>
  <si>
    <t>Пинаев</t>
  </si>
  <si>
    <t>Писаненко</t>
  </si>
  <si>
    <t>Писарев</t>
  </si>
  <si>
    <t>Писарева</t>
  </si>
  <si>
    <t>Пискарёв</t>
  </si>
  <si>
    <t>Сава</t>
  </si>
  <si>
    <t>Пичушкина</t>
  </si>
  <si>
    <t>Пищев</t>
  </si>
  <si>
    <t>Платунов</t>
  </si>
  <si>
    <t>Плахотнюк</t>
  </si>
  <si>
    <t>Плеханов</t>
  </si>
  <si>
    <t>Плицев</t>
  </si>
  <si>
    <t>Плицева</t>
  </si>
  <si>
    <t>Плотников</t>
  </si>
  <si>
    <t>Плотникова</t>
  </si>
  <si>
    <t>Плюснина</t>
  </si>
  <si>
    <t>Республика Мордовия - Пермский край</t>
  </si>
  <si>
    <t>г. Саранск, ГАУ РМ "СШОР по зимним видам спорта", Динамо</t>
  </si>
  <si>
    <t>Санкт-Петербург - Свердловская область</t>
  </si>
  <si>
    <t>Новоуральск, СПб ГБПОУ "УОР №2 (техникум)"</t>
  </si>
  <si>
    <t>Пляскин</t>
  </si>
  <si>
    <t>Побийпеч</t>
  </si>
  <si>
    <t>Поварницын</t>
  </si>
  <si>
    <t>г. Ижевск, АУ УР "ЦСП", ЦСКА</t>
  </si>
  <si>
    <t>Погодина</t>
  </si>
  <si>
    <t>Подзоров</t>
  </si>
  <si>
    <t>Подлинова</t>
  </si>
  <si>
    <t>Подольников</t>
  </si>
  <si>
    <t>Подольский</t>
  </si>
  <si>
    <t>Подрезов</t>
  </si>
  <si>
    <t>Подусков</t>
  </si>
  <si>
    <t>Поздеев</t>
  </si>
  <si>
    <t>Позднякова</t>
  </si>
  <si>
    <t>Богдана</t>
  </si>
  <si>
    <t>Покалюк</t>
  </si>
  <si>
    <t>Полежаев</t>
  </si>
  <si>
    <t>Полищук</t>
  </si>
  <si>
    <t>Полонская</t>
  </si>
  <si>
    <t>Полторацкая</t>
  </si>
  <si>
    <t>Полторацкий</t>
  </si>
  <si>
    <t>Полукаров</t>
  </si>
  <si>
    <t>Полухин</t>
  </si>
  <si>
    <t>Полуэктова</t>
  </si>
  <si>
    <t>Полькина</t>
  </si>
  <si>
    <t>Поляков</t>
  </si>
  <si>
    <t>Полякова</t>
  </si>
  <si>
    <t>Полянников</t>
  </si>
  <si>
    <t>Полянская</t>
  </si>
  <si>
    <t>Помников</t>
  </si>
  <si>
    <t>Понеделко</t>
  </si>
  <si>
    <t>Пономарев</t>
  </si>
  <si>
    <t>Пономорев</t>
  </si>
  <si>
    <t>Попов</t>
  </si>
  <si>
    <t>Попова</t>
  </si>
  <si>
    <t>Порошина</t>
  </si>
  <si>
    <t>Портреткин</t>
  </si>
  <si>
    <t>Поршнев</t>
  </si>
  <si>
    <t>Поршнева</t>
  </si>
  <si>
    <t>Посаженникова</t>
  </si>
  <si>
    <t>Потапкина</t>
  </si>
  <si>
    <t>Поченкова</t>
  </si>
  <si>
    <t>Прапорова</t>
  </si>
  <si>
    <t>Прачкис</t>
  </si>
  <si>
    <t>Прижимова</t>
  </si>
  <si>
    <t>Провоторов</t>
  </si>
  <si>
    <t>Прокопьева</t>
  </si>
  <si>
    <t>Промохин</t>
  </si>
  <si>
    <t>Пронина</t>
  </si>
  <si>
    <t>Просёлкин</t>
  </si>
  <si>
    <t>Протасов</t>
  </si>
  <si>
    <t>Прохоров</t>
  </si>
  <si>
    <t>Процук</t>
  </si>
  <si>
    <t>Прошина</t>
  </si>
  <si>
    <t>Прудникова</t>
  </si>
  <si>
    <t>Прусов</t>
  </si>
  <si>
    <t>Прядко</t>
  </si>
  <si>
    <t>Псарёва</t>
  </si>
  <si>
    <t>Пугачёв</t>
  </si>
  <si>
    <t>Пугачева</t>
  </si>
  <si>
    <t>Пугина</t>
  </si>
  <si>
    <t>Сургутский район, БУ ХМАО-Югры "ЦСПСКЮ"</t>
  </si>
  <si>
    <t>Пушкарёва</t>
  </si>
  <si>
    <t>Пушненкова</t>
  </si>
  <si>
    <t>Пфанненштиль</t>
  </si>
  <si>
    <t>Пылаева</t>
  </si>
  <si>
    <t>Екатеринбург, ЦСП СО</t>
  </si>
  <si>
    <t>Пырикова</t>
  </si>
  <si>
    <t>Пыстогов</t>
  </si>
  <si>
    <t>Санкт-Петербург, СКА</t>
  </si>
  <si>
    <t>Пыхтеева</t>
  </si>
  <si>
    <t>Пяткина</t>
  </si>
  <si>
    <t>Рагимов</t>
  </si>
  <si>
    <t>Карим</t>
  </si>
  <si>
    <t>Рагузов</t>
  </si>
  <si>
    <t>Радайкина</t>
  </si>
  <si>
    <t>Радионова</t>
  </si>
  <si>
    <t>Разгадова</t>
  </si>
  <si>
    <t>Разговоров</t>
  </si>
  <si>
    <t>Размыслова</t>
  </si>
  <si>
    <t>Разуваев</t>
  </si>
  <si>
    <t>Рамазанов</t>
  </si>
  <si>
    <t>Рассказов</t>
  </si>
  <si>
    <t>Рахматов</t>
  </si>
  <si>
    <t>Рашитова</t>
  </si>
  <si>
    <t>Резцова</t>
  </si>
  <si>
    <t>Река</t>
  </si>
  <si>
    <t>Репина</t>
  </si>
  <si>
    <t>Реут</t>
  </si>
  <si>
    <t>Риве</t>
  </si>
  <si>
    <t>Рогова</t>
  </si>
  <si>
    <t>г. Сыктывкар, ГАУ РК "ЦСПСК"</t>
  </si>
  <si>
    <t>Роготовский</t>
  </si>
  <si>
    <t>Родин</t>
  </si>
  <si>
    <t>Родионов</t>
  </si>
  <si>
    <t>Родионовская</t>
  </si>
  <si>
    <t>Родунер</t>
  </si>
  <si>
    <t>Дионис</t>
  </si>
  <si>
    <t>Рожнова</t>
  </si>
  <si>
    <t>Розов</t>
  </si>
  <si>
    <t>Республика Башкортостан - Республика Саха (Якутия)</t>
  </si>
  <si>
    <t>Романов</t>
  </si>
  <si>
    <t>Димитровград, МКУ СШ «Нейтрон»</t>
  </si>
  <si>
    <t>Романова</t>
  </si>
  <si>
    <t>Романченко</t>
  </si>
  <si>
    <t>Романюк</t>
  </si>
  <si>
    <t>Ростова</t>
  </si>
  <si>
    <t>Рочев</t>
  </si>
  <si>
    <t>Рощина</t>
  </si>
  <si>
    <t>Рощупкин</t>
  </si>
  <si>
    <t>Рубцова</t>
  </si>
  <si>
    <t>Рудаков</t>
  </si>
  <si>
    <t>Рудакова</t>
  </si>
  <si>
    <t>Руденко</t>
  </si>
  <si>
    <t>Рулёв</t>
  </si>
  <si>
    <t>Румянцева</t>
  </si>
  <si>
    <t>Вера</t>
  </si>
  <si>
    <t>Ямало-Ненецкий АО - Ямало-Ненецкий АО</t>
  </si>
  <si>
    <t>Русакова</t>
  </si>
  <si>
    <t>Русанов</t>
  </si>
  <si>
    <t>Русинов</t>
  </si>
  <si>
    <t>Русских</t>
  </si>
  <si>
    <t>Рыбакова</t>
  </si>
  <si>
    <t>Рыбкин</t>
  </si>
  <si>
    <t>Рыженко</t>
  </si>
  <si>
    <t>Рыжих</t>
  </si>
  <si>
    <t>Воронежская область</t>
  </si>
  <si>
    <t>ВОР</t>
  </si>
  <si>
    <t>Воронеж, РОО "Федерация биатлона ВО"</t>
  </si>
  <si>
    <t>Рыжкова</t>
  </si>
  <si>
    <t>Санкт-Петербург - Вологодская область</t>
  </si>
  <si>
    <t>Рыкованова</t>
  </si>
  <si>
    <t>Рытиков</t>
  </si>
  <si>
    <t>Рябкина</t>
  </si>
  <si>
    <t>Рябов</t>
  </si>
  <si>
    <t>Мытищи, МБУ "СШ "Авангард"</t>
  </si>
  <si>
    <t>Рябова</t>
  </si>
  <si>
    <t>Рябцев</t>
  </si>
  <si>
    <t>Рязанов</t>
  </si>
  <si>
    <t>Рязанова</t>
  </si>
  <si>
    <t>Сабанцева</t>
  </si>
  <si>
    <t>Сабельников</t>
  </si>
  <si>
    <t>Сабирзянова</t>
  </si>
  <si>
    <t>Сабитова</t>
  </si>
  <si>
    <t>Савельева</t>
  </si>
  <si>
    <t>Савенков</t>
  </si>
  <si>
    <t>Савичев</t>
  </si>
  <si>
    <t>Савкин</t>
  </si>
  <si>
    <t>Савкина</t>
  </si>
  <si>
    <t>Саврилова</t>
  </si>
  <si>
    <t>Савченко</t>
  </si>
  <si>
    <t>Садиров</t>
  </si>
  <si>
    <t>Садыков</t>
  </si>
  <si>
    <t>Айрат</t>
  </si>
  <si>
    <t>Садырева</t>
  </si>
  <si>
    <t>Сажинов</t>
  </si>
  <si>
    <t>Сазонова</t>
  </si>
  <si>
    <t>Свердловская область - Республика Карелия</t>
  </si>
  <si>
    <t>Новоуральск, СК "Кедр" НГО</t>
  </si>
  <si>
    <t>Сайфутдинов</t>
  </si>
  <si>
    <t>Салихова</t>
  </si>
  <si>
    <t>Салов</t>
  </si>
  <si>
    <t>Салтыкова</t>
  </si>
  <si>
    <t>Салюкина</t>
  </si>
  <si>
    <t>Салюков</t>
  </si>
  <si>
    <t>Самохвалов</t>
  </si>
  <si>
    <t>Самошина</t>
  </si>
  <si>
    <t>Самсонов</t>
  </si>
  <si>
    <t>Санаева</t>
  </si>
  <si>
    <t>Санников</t>
  </si>
  <si>
    <t>Санникова</t>
  </si>
  <si>
    <t>Саратовский</t>
  </si>
  <si>
    <t>Сарычев</t>
  </si>
  <si>
    <t>Саттаров</t>
  </si>
  <si>
    <t>Назар</t>
  </si>
  <si>
    <t>Саузина</t>
  </si>
  <si>
    <t>Сафаров</t>
  </si>
  <si>
    <t>Сафина</t>
  </si>
  <si>
    <t>Сафонов</t>
  </si>
  <si>
    <t>Сахарова</t>
  </si>
  <si>
    <t>Сватков</t>
  </si>
  <si>
    <t>Свищев</t>
  </si>
  <si>
    <t>Свияжский</t>
  </si>
  <si>
    <t>Свотин</t>
  </si>
  <si>
    <t>Северина</t>
  </si>
  <si>
    <t>Седлецкая</t>
  </si>
  <si>
    <t>Седов</t>
  </si>
  <si>
    <t>Седогин</t>
  </si>
  <si>
    <t>Седрысев</t>
  </si>
  <si>
    <t>Седунов</t>
  </si>
  <si>
    <t>Седякин</t>
  </si>
  <si>
    <t>Сейфуллина</t>
  </si>
  <si>
    <t>Сабина</t>
  </si>
  <si>
    <t>Селиванов</t>
  </si>
  <si>
    <t>Селивёрстова</t>
  </si>
  <si>
    <t>Селин</t>
  </si>
  <si>
    <t>Селифанов</t>
  </si>
  <si>
    <t>Селифанова</t>
  </si>
  <si>
    <t>Семакина</t>
  </si>
  <si>
    <t>Семаков</t>
  </si>
  <si>
    <t>Семенеева</t>
  </si>
  <si>
    <t>г. Саратов, ГБУСО "СШОР "НГ"</t>
  </si>
  <si>
    <t>Семенкова</t>
  </si>
  <si>
    <t>Семенов</t>
  </si>
  <si>
    <t>Семенова</t>
  </si>
  <si>
    <t>Семенычева</t>
  </si>
  <si>
    <t>Семенюк</t>
  </si>
  <si>
    <t>Семеняк</t>
  </si>
  <si>
    <t>Сенько</t>
  </si>
  <si>
    <t>Сербина</t>
  </si>
  <si>
    <t>Сергеев</t>
  </si>
  <si>
    <t>Сергеева</t>
  </si>
  <si>
    <t>Серебрякова</t>
  </si>
  <si>
    <t>Серёгин</t>
  </si>
  <si>
    <t>Середа</t>
  </si>
  <si>
    <t>Сержантов</t>
  </si>
  <si>
    <t>Серова</t>
  </si>
  <si>
    <t>Наталия</t>
  </si>
  <si>
    <t>Серохвостов</t>
  </si>
  <si>
    <t>Сечанцын</t>
  </si>
  <si>
    <t>Борис</t>
  </si>
  <si>
    <t>Сеялов</t>
  </si>
  <si>
    <t>Сибгатуллина</t>
  </si>
  <si>
    <t>Резеда</t>
  </si>
  <si>
    <t>Сивков</t>
  </si>
  <si>
    <t>Сивожелезова</t>
  </si>
  <si>
    <t>Сигаев</t>
  </si>
  <si>
    <t>Сигина-Лавданская</t>
  </si>
  <si>
    <t>Сидоренко</t>
  </si>
  <si>
    <t>Сидоров</t>
  </si>
  <si>
    <t>Сидорова</t>
  </si>
  <si>
    <t>Сизько</t>
  </si>
  <si>
    <t>Силаев</t>
  </si>
  <si>
    <t>Силина</t>
  </si>
  <si>
    <t>Силкина</t>
  </si>
  <si>
    <t>Симаев</t>
  </si>
  <si>
    <t>Симаков</t>
  </si>
  <si>
    <t>Симачёва</t>
  </si>
  <si>
    <t>Симашина</t>
  </si>
  <si>
    <t>Симонов</t>
  </si>
  <si>
    <t>Симонова</t>
  </si>
  <si>
    <t>Синичева</t>
  </si>
  <si>
    <t>Синьков</t>
  </si>
  <si>
    <t>Синягин</t>
  </si>
  <si>
    <t>Сиротин</t>
  </si>
  <si>
    <t>Ситников</t>
  </si>
  <si>
    <t>Скачкова</t>
  </si>
  <si>
    <t>Скворцова</t>
  </si>
  <si>
    <t>Скибардина</t>
  </si>
  <si>
    <t>Скобелев</t>
  </si>
  <si>
    <t>Скобелева</t>
  </si>
  <si>
    <t>Скопинцев</t>
  </si>
  <si>
    <t>Скороходов</t>
  </si>
  <si>
    <t>Скотников</t>
  </si>
  <si>
    <t>Скробин</t>
  </si>
  <si>
    <t>Слепов</t>
  </si>
  <si>
    <t>Сливко</t>
  </si>
  <si>
    <t>Слободчиков</t>
  </si>
  <si>
    <t>Слушкин</t>
  </si>
  <si>
    <t>Слыш</t>
  </si>
  <si>
    <t>Смелянец</t>
  </si>
  <si>
    <t>Сметанин</t>
  </si>
  <si>
    <t>Смирнов</t>
  </si>
  <si>
    <t>Смирнова</t>
  </si>
  <si>
    <t>Мирослава</t>
  </si>
  <si>
    <t>Смоленская</t>
  </si>
  <si>
    <t>Смольянинова</t>
  </si>
  <si>
    <t>Смолягин</t>
  </si>
  <si>
    <t>Смоляков</t>
  </si>
  <si>
    <t>Снипич</t>
  </si>
  <si>
    <t>Соболев</t>
  </si>
  <si>
    <t>Соболева</t>
  </si>
  <si>
    <t>Соенко</t>
  </si>
  <si>
    <t>Виолета</t>
  </si>
  <si>
    <t>Созонтова</t>
  </si>
  <si>
    <t>Людмила</t>
  </si>
  <si>
    <t>Соколов</t>
  </si>
  <si>
    <t>Соколова</t>
  </si>
  <si>
    <t>Солдатова</t>
  </si>
  <si>
    <t>Соловьев</t>
  </si>
  <si>
    <t>Соловьева</t>
  </si>
  <si>
    <t>Соловьёва</t>
  </si>
  <si>
    <t>Солодиков</t>
  </si>
  <si>
    <t>Соломенников</t>
  </si>
  <si>
    <t>Солтаганов</t>
  </si>
  <si>
    <t>Сомов</t>
  </si>
  <si>
    <t>Сорокин</t>
  </si>
  <si>
    <t>Сороко</t>
  </si>
  <si>
    <t>Сосновский</t>
  </si>
  <si>
    <t>Спиридонов</t>
  </si>
  <si>
    <t>Спирин</t>
  </si>
  <si>
    <t>Спиркина</t>
  </si>
  <si>
    <t>Спицин</t>
  </si>
  <si>
    <t>Урай, АПОУ ХМАО-Югры "ЮКИОР"</t>
  </si>
  <si>
    <t>Споршев</t>
  </si>
  <si>
    <t>Стариков</t>
  </si>
  <si>
    <t>Старикова</t>
  </si>
  <si>
    <t>Старицын</t>
  </si>
  <si>
    <t>Старков</t>
  </si>
  <si>
    <t>Старовойтов</t>
  </si>
  <si>
    <t>Старовойтова</t>
  </si>
  <si>
    <t>Старых</t>
  </si>
  <si>
    <t>Стебловская</t>
  </si>
  <si>
    <t>Степанижов</t>
  </si>
  <si>
    <t>Кемеровская область - Новосибирская область</t>
  </si>
  <si>
    <t>Степанов</t>
  </si>
  <si>
    <t>Степанова</t>
  </si>
  <si>
    <t>Степочкин</t>
  </si>
  <si>
    <t>Стерлюхов</t>
  </si>
  <si>
    <t>Стерхов</t>
  </si>
  <si>
    <t>Стихина</t>
  </si>
  <si>
    <t>Стома</t>
  </si>
  <si>
    <t>Стороженко</t>
  </si>
  <si>
    <t>Стребко</t>
  </si>
  <si>
    <t>Стрелков</t>
  </si>
  <si>
    <t>Стрельцов</t>
  </si>
  <si>
    <t>д. Головино, ГБУ МО "СШОР "Истина", ЦСКА</t>
  </si>
  <si>
    <t>Стринадкин</t>
  </si>
  <si>
    <t>Строганова</t>
  </si>
  <si>
    <t>Строкач</t>
  </si>
  <si>
    <t>Строкинов</t>
  </si>
  <si>
    <t>Струева</t>
  </si>
  <si>
    <t>Струков</t>
  </si>
  <si>
    <t>Стуколкин</t>
  </si>
  <si>
    <t>Суворов</t>
  </si>
  <si>
    <t>Суворова</t>
  </si>
  <si>
    <t>Суков</t>
  </si>
  <si>
    <t>Суковатицын</t>
  </si>
  <si>
    <t>Сулейманова</t>
  </si>
  <si>
    <t>Камиля</t>
  </si>
  <si>
    <t>Султанова</t>
  </si>
  <si>
    <t>г. Набережные Челны, ГДТДиМ №1</t>
  </si>
  <si>
    <t>Суматов</t>
  </si>
  <si>
    <t>Тихвин, МБУ ДО ДЮСШ "Богатырь"</t>
  </si>
  <si>
    <t>Сундуков</t>
  </si>
  <si>
    <t>Сундукова</t>
  </si>
  <si>
    <t>Суньдикова</t>
  </si>
  <si>
    <t>Суомалайнен</t>
  </si>
  <si>
    <t>Сургутский</t>
  </si>
  <si>
    <t>Сурдал</t>
  </si>
  <si>
    <t>Суркова</t>
  </si>
  <si>
    <t>Сурнев</t>
  </si>
  <si>
    <t>Сурьянинов</t>
  </si>
  <si>
    <t>Суслов</t>
  </si>
  <si>
    <t>Суслова</t>
  </si>
  <si>
    <t>Суханов</t>
  </si>
  <si>
    <t>Суханова</t>
  </si>
  <si>
    <t>Сухомесов</t>
  </si>
  <si>
    <t>Сучилов</t>
  </si>
  <si>
    <t>Сушкина</t>
  </si>
  <si>
    <t>Сушков</t>
  </si>
  <si>
    <t>Сушкова</t>
  </si>
  <si>
    <t>Сырцов</t>
  </si>
  <si>
    <t>Сычев</t>
  </si>
  <si>
    <t>Сычугова</t>
  </si>
  <si>
    <t>Табаева</t>
  </si>
  <si>
    <t>Таболина</t>
  </si>
  <si>
    <t>Тагачаков</t>
  </si>
  <si>
    <t>Тагиров</t>
  </si>
  <si>
    <t>Таджибаев</t>
  </si>
  <si>
    <t>Жусуп</t>
  </si>
  <si>
    <t>Таипов</t>
  </si>
  <si>
    <t>Нияз</t>
  </si>
  <si>
    <t>Талменева</t>
  </si>
  <si>
    <t>Санкт-Петербург, СПб ГБПОУ "УОР №2 (техникум)", ВС РФ</t>
  </si>
  <si>
    <t>Таранов</t>
  </si>
  <si>
    <t>Тарасова</t>
  </si>
  <si>
    <t>Девушки 14-15 лет</t>
  </si>
  <si>
    <t>Тарутин</t>
  </si>
  <si>
    <t>Таскин</t>
  </si>
  <si>
    <t>Тачук</t>
  </si>
  <si>
    <t>Таштимеров</t>
  </si>
  <si>
    <t>Таюпов</t>
  </si>
  <si>
    <t>Таюрская</t>
  </si>
  <si>
    <t>Твердовский</t>
  </si>
  <si>
    <t>Тельканов</t>
  </si>
  <si>
    <t>Тёмкин</t>
  </si>
  <si>
    <t>Тепляков</t>
  </si>
  <si>
    <t>г. Ижевск, МБУ СШ «Ижсталь»</t>
  </si>
  <si>
    <t>Терентьев</t>
  </si>
  <si>
    <t>Терентьева</t>
  </si>
  <si>
    <t>Терехов</t>
  </si>
  <si>
    <t>Терехова</t>
  </si>
  <si>
    <t>г. Северск, ДЮСШ им. Л.Егоровой</t>
  </si>
  <si>
    <t>Терских</t>
  </si>
  <si>
    <t>Назарово, Академия биатлона</t>
  </si>
  <si>
    <t>Тимербулатова</t>
  </si>
  <si>
    <t>Эмма</t>
  </si>
  <si>
    <t>Тимофеева</t>
  </si>
  <si>
    <t>Тимохина</t>
  </si>
  <si>
    <t>Тимуков</t>
  </si>
  <si>
    <t>Тинякова</t>
  </si>
  <si>
    <t>Санкт-Петербург - Рязанская область</t>
  </si>
  <si>
    <t>Титов</t>
  </si>
  <si>
    <t>Титова</t>
  </si>
  <si>
    <t>Титоренко</t>
  </si>
  <si>
    <t>Тихомирова</t>
  </si>
  <si>
    <t>Тихонова</t>
  </si>
  <si>
    <t>Ткаченко</t>
  </si>
  <si>
    <t>Токарев</t>
  </si>
  <si>
    <t>Токарева</t>
  </si>
  <si>
    <t>Токарский</t>
  </si>
  <si>
    <t>Толмачева</t>
  </si>
  <si>
    <t>Республика Башкортостан - Тюменская область</t>
  </si>
  <si>
    <t>Томашевич</t>
  </si>
  <si>
    <t>Василие</t>
  </si>
  <si>
    <t>Томилов</t>
  </si>
  <si>
    <t>Сургутский р-он, БУ ХМАО-Югры "ЦСПСКЮ", ЦСКА</t>
  </si>
  <si>
    <t>Томшин</t>
  </si>
  <si>
    <t>г. Санкт-Петербург, СПб ГБПОУ "УОР №2 (техникум)", Динамо</t>
  </si>
  <si>
    <t>Тонкошкур</t>
  </si>
  <si>
    <t>Клавдия</t>
  </si>
  <si>
    <t>Тосенко</t>
  </si>
  <si>
    <t>Савва</t>
  </si>
  <si>
    <t>Травников</t>
  </si>
  <si>
    <t>Тренихина</t>
  </si>
  <si>
    <t>Третьяков</t>
  </si>
  <si>
    <t>Третьякова</t>
  </si>
  <si>
    <t>Третьяченко</t>
  </si>
  <si>
    <t>Трефилов</t>
  </si>
  <si>
    <t>Трифанов</t>
  </si>
  <si>
    <t>Трифанова</t>
  </si>
  <si>
    <t>Трифонов</t>
  </si>
  <si>
    <t>Тройников</t>
  </si>
  <si>
    <t>Тронин</t>
  </si>
  <si>
    <t>Трофимов</t>
  </si>
  <si>
    <t>Трошина</t>
  </si>
  <si>
    <t>Труфанова</t>
  </si>
  <si>
    <t>Трушин</t>
  </si>
  <si>
    <t>Павловский Посад, ГБУ МО "ЦСП ОВС"</t>
  </si>
  <si>
    <t>Трушников</t>
  </si>
  <si>
    <t>Тряпкин</t>
  </si>
  <si>
    <t>Тугарев</t>
  </si>
  <si>
    <t>Тузинская</t>
  </si>
  <si>
    <t>Туйков</t>
  </si>
  <si>
    <t>Туктарева</t>
  </si>
  <si>
    <t>Туманов</t>
  </si>
  <si>
    <t>Турушева</t>
  </si>
  <si>
    <t>Тутмин</t>
  </si>
  <si>
    <t>Тыртышняя</t>
  </si>
  <si>
    <t>г. Екатеринбург, ДЮСШ ВИР</t>
  </si>
  <si>
    <t>Тыщенко</t>
  </si>
  <si>
    <t>Тюриков</t>
  </si>
  <si>
    <t>Тяжелова</t>
  </si>
  <si>
    <t>Тяхов</t>
  </si>
  <si>
    <t>Угольникова</t>
  </si>
  <si>
    <t>Удалова</t>
  </si>
  <si>
    <t>Удальчикова</t>
  </si>
  <si>
    <t>Удовицкая</t>
  </si>
  <si>
    <t>Уланов</t>
  </si>
  <si>
    <t>Улыбина</t>
  </si>
  <si>
    <t>пгт. Междуреченский, БУ ХМАО-Югры "ЦСПСКЮ"</t>
  </si>
  <si>
    <t>Ульвачева</t>
  </si>
  <si>
    <t>Ульянова</t>
  </si>
  <si>
    <t>Унгаров</t>
  </si>
  <si>
    <t>Уразгулов</t>
  </si>
  <si>
    <t>Уринова</t>
  </si>
  <si>
    <t>Хилола</t>
  </si>
  <si>
    <t>Хуснара</t>
  </si>
  <si>
    <t>Уросов</t>
  </si>
  <si>
    <t>Урсегова</t>
  </si>
  <si>
    <t>Усков</t>
  </si>
  <si>
    <t>Усманов</t>
  </si>
  <si>
    <t>Салим</t>
  </si>
  <si>
    <t>Усманова</t>
  </si>
  <si>
    <t>Лия</t>
  </si>
  <si>
    <t>Усов</t>
  </si>
  <si>
    <t>Усольцев</t>
  </si>
  <si>
    <t>Успеньева</t>
  </si>
  <si>
    <t>Устименко</t>
  </si>
  <si>
    <t>Устинов</t>
  </si>
  <si>
    <t>Утробин</t>
  </si>
  <si>
    <t>Учватов</t>
  </si>
  <si>
    <t>Ушаков</t>
  </si>
  <si>
    <t>Ушахин</t>
  </si>
  <si>
    <t>Ушкина</t>
  </si>
  <si>
    <t>Ущенко</t>
  </si>
  <si>
    <t>Фадеев</t>
  </si>
  <si>
    <t>п. Токсово, СПб ГБУ СШОР "ШВСМ по ЗВС", ВС РФ</t>
  </si>
  <si>
    <t>Фаенкова</t>
  </si>
  <si>
    <t>Факеев</t>
  </si>
  <si>
    <t>Фалалеев</t>
  </si>
  <si>
    <t>Фарафонов</t>
  </si>
  <si>
    <t>Фарбей</t>
  </si>
  <si>
    <t>Стефания</t>
  </si>
  <si>
    <t>Фарукшин</t>
  </si>
  <si>
    <t>Фарфутдинов</t>
  </si>
  <si>
    <t>Фахретдинов</t>
  </si>
  <si>
    <t>Фахриев</t>
  </si>
  <si>
    <t>Федореев</t>
  </si>
  <si>
    <t>Федоров</t>
  </si>
  <si>
    <t>Федорова</t>
  </si>
  <si>
    <t>Федосеев</t>
  </si>
  <si>
    <t>Омская область - Свердловская область</t>
  </si>
  <si>
    <t>Новоуральск, БУОО "РЦСП"</t>
  </si>
  <si>
    <t>Федосеева</t>
  </si>
  <si>
    <t>Федотов</t>
  </si>
  <si>
    <t>Федченко</t>
  </si>
  <si>
    <t>Федчиков</t>
  </si>
  <si>
    <t>Канск, Академия биатлона</t>
  </si>
  <si>
    <t>Федюкин</t>
  </si>
  <si>
    <t>Федяшина</t>
  </si>
  <si>
    <t>Феоктистова</t>
  </si>
  <si>
    <t>Фердер</t>
  </si>
  <si>
    <t>Фесенко</t>
  </si>
  <si>
    <t>Филенко</t>
  </si>
  <si>
    <t>Филимонов</t>
  </si>
  <si>
    <t>Нягань, БУ ХМАО-Югры "ЦСПСКЮ"</t>
  </si>
  <si>
    <t>Филимонова</t>
  </si>
  <si>
    <t>Филиппов</t>
  </si>
  <si>
    <t>Филиппова</t>
  </si>
  <si>
    <t>Филонов</t>
  </si>
  <si>
    <t>Филонова</t>
  </si>
  <si>
    <t>Филошина</t>
  </si>
  <si>
    <t>Фомин</t>
  </si>
  <si>
    <t>Фомина</t>
  </si>
  <si>
    <t>Франк</t>
  </si>
  <si>
    <t>Фридман</t>
  </si>
  <si>
    <t>Фролов</t>
  </si>
  <si>
    <t>Фролова</t>
  </si>
  <si>
    <t>Фруль</t>
  </si>
  <si>
    <t>Фуникова</t>
  </si>
  <si>
    <t>Хабытина</t>
  </si>
  <si>
    <t>Роксана</t>
  </si>
  <si>
    <t>Хажимуратов</t>
  </si>
  <si>
    <t>Хайбуллин</t>
  </si>
  <si>
    <t>Хайрулина</t>
  </si>
  <si>
    <t>Хакимов</t>
  </si>
  <si>
    <t>Халеев</t>
  </si>
  <si>
    <t>Халили</t>
  </si>
  <si>
    <t>Саид Каримулла</t>
  </si>
  <si>
    <t>Халимова</t>
  </si>
  <si>
    <t>Халиуллина</t>
  </si>
  <si>
    <t>г. Саранск, ГАУ РМ "СШОР по зимним видам спорта", ЦСКА</t>
  </si>
  <si>
    <t>Халматов</t>
  </si>
  <si>
    <t>Халюткина</t>
  </si>
  <si>
    <t>Халявин</t>
  </si>
  <si>
    <t>Хамидуллина</t>
  </si>
  <si>
    <t>Хамко</t>
  </si>
  <si>
    <t>Ханзутин</t>
  </si>
  <si>
    <t>Ханова</t>
  </si>
  <si>
    <t>Ханько</t>
  </si>
  <si>
    <t>Харатян</t>
  </si>
  <si>
    <t>Харин</t>
  </si>
  <si>
    <t>Харитонов</t>
  </si>
  <si>
    <t>Харитонова</t>
  </si>
  <si>
    <t>Харламов</t>
  </si>
  <si>
    <t>Харлин</t>
  </si>
  <si>
    <t>Харченко</t>
  </si>
  <si>
    <t>Хасанкаев</t>
  </si>
  <si>
    <t>Хасанов</t>
  </si>
  <si>
    <t>Хасанова</t>
  </si>
  <si>
    <t>Хатинович</t>
  </si>
  <si>
    <t>Хациев</t>
  </si>
  <si>
    <t>Хемницер</t>
  </si>
  <si>
    <t>Хилькевич</t>
  </si>
  <si>
    <t>Химиченко</t>
  </si>
  <si>
    <t>Хисматуллина</t>
  </si>
  <si>
    <t>Эллина</t>
  </si>
  <si>
    <t>Хлебникова</t>
  </si>
  <si>
    <t>Хмара</t>
  </si>
  <si>
    <t>Холманских</t>
  </si>
  <si>
    <t>Холодилов</t>
  </si>
  <si>
    <t>Холоще</t>
  </si>
  <si>
    <t>Хонякина</t>
  </si>
  <si>
    <t>Хорошавцева</t>
  </si>
  <si>
    <t>Хоружий</t>
  </si>
  <si>
    <t>Хоценок</t>
  </si>
  <si>
    <t>Хренов</t>
  </si>
  <si>
    <t>Христинин</t>
  </si>
  <si>
    <t>Хромов</t>
  </si>
  <si>
    <t>Хрущов</t>
  </si>
  <si>
    <t>Худанина</t>
  </si>
  <si>
    <t>Худорожкова</t>
  </si>
  <si>
    <t>Хузин</t>
  </si>
  <si>
    <t>Хузина</t>
  </si>
  <si>
    <t>Дания</t>
  </si>
  <si>
    <t>Хуусконен</t>
  </si>
  <si>
    <t>Царева</t>
  </si>
  <si>
    <t>Царьков</t>
  </si>
  <si>
    <t>Царькова</t>
  </si>
  <si>
    <t>Царюк</t>
  </si>
  <si>
    <t>Цветков</t>
  </si>
  <si>
    <t>г. Санкт-Петербург, ГБУ СШОР №3 Калининского района, ЦСКА</t>
  </si>
  <si>
    <t>Цибульский</t>
  </si>
  <si>
    <t>Цигвинцев</t>
  </si>
  <si>
    <t>Цимбалистова</t>
  </si>
  <si>
    <t>Цицулин</t>
  </si>
  <si>
    <t>Цуканова</t>
  </si>
  <si>
    <t>Цыганков</t>
  </si>
  <si>
    <t>Цыганов</t>
  </si>
  <si>
    <t>Цыганок</t>
  </si>
  <si>
    <t>Цыплухина</t>
  </si>
  <si>
    <t>Цысляк</t>
  </si>
  <si>
    <t>Чаговцев</t>
  </si>
  <si>
    <t>Чанфа</t>
  </si>
  <si>
    <t>Чащин</t>
  </si>
  <si>
    <t>Чегодаев</t>
  </si>
  <si>
    <t>г. Новоуральск, БУОО "РЦСП"</t>
  </si>
  <si>
    <t>Чекалова</t>
  </si>
  <si>
    <t>Черепанов</t>
  </si>
  <si>
    <t>Черепанова</t>
  </si>
  <si>
    <t>Черкез</t>
  </si>
  <si>
    <t>Чернавин</t>
  </si>
  <si>
    <t>Черников</t>
  </si>
  <si>
    <t>Черникова</t>
  </si>
  <si>
    <t>Чернов</t>
  </si>
  <si>
    <t>Кодинск, МБУ «СШ по биатлону»</t>
  </si>
  <si>
    <t>Чернова</t>
  </si>
  <si>
    <t>Черногрудова</t>
  </si>
  <si>
    <t>Черноусова</t>
  </si>
  <si>
    <t>Черных</t>
  </si>
  <si>
    <t>Чернышев</t>
  </si>
  <si>
    <t>Чернышева</t>
  </si>
  <si>
    <t>Чернышенко</t>
  </si>
  <si>
    <t>Чернышов</t>
  </si>
  <si>
    <t>Чернышова</t>
  </si>
  <si>
    <t>Чертков</t>
  </si>
  <si>
    <t>Четвертков</t>
  </si>
  <si>
    <t>Чечета</t>
  </si>
  <si>
    <t>Чиёсов</t>
  </si>
  <si>
    <t>Чижова</t>
  </si>
  <si>
    <t>Чипига</t>
  </si>
  <si>
    <t>Чирков</t>
  </si>
  <si>
    <t>Чистяков</t>
  </si>
  <si>
    <t>Чубарова</t>
  </si>
  <si>
    <t>Чубинидзе</t>
  </si>
  <si>
    <t>Чудайкин</t>
  </si>
  <si>
    <t>Чуев</t>
  </si>
  <si>
    <t>Чукаева</t>
  </si>
  <si>
    <t>Чуклин</t>
  </si>
  <si>
    <t>Чулев</t>
  </si>
  <si>
    <t>Чумакова</t>
  </si>
  <si>
    <t>Чумарина</t>
  </si>
  <si>
    <t>Чупахин</t>
  </si>
  <si>
    <t>Чупахина</t>
  </si>
  <si>
    <t>г. Омск, БУОО "РЦСП"</t>
  </si>
  <si>
    <t>Чуракаева</t>
  </si>
  <si>
    <t>Чураков</t>
  </si>
  <si>
    <t>Чурилова</t>
  </si>
  <si>
    <t>Чурин</t>
  </si>
  <si>
    <t>Чуфистов</t>
  </si>
  <si>
    <t>Чучулаев</t>
  </si>
  <si>
    <t>Шабалина</t>
  </si>
  <si>
    <t>Шабанов</t>
  </si>
  <si>
    <t>п. Развилка, МБОУ Развилковская СОШ с УИОП ШСК "Лидер"</t>
  </si>
  <si>
    <t>Шабинская</t>
  </si>
  <si>
    <t>Шавлюков</t>
  </si>
  <si>
    <t>Шаданов</t>
  </si>
  <si>
    <t>Шадрин</t>
  </si>
  <si>
    <t>Шадрина</t>
  </si>
  <si>
    <t>Шайдуллин</t>
  </si>
  <si>
    <t>Шайдурова</t>
  </si>
  <si>
    <t>Шаймурзин</t>
  </si>
  <si>
    <t>Ринат</t>
  </si>
  <si>
    <t>Шакиров</t>
  </si>
  <si>
    <t>Ислам</t>
  </si>
  <si>
    <t>Шаклеева</t>
  </si>
  <si>
    <t>Шамаев</t>
  </si>
  <si>
    <t>Ижевск, АУ УР "ЦСП", ВС РФ</t>
  </si>
  <si>
    <t>Шаманаева</t>
  </si>
  <si>
    <t>Шамеев</t>
  </si>
  <si>
    <t>Шамукаев</t>
  </si>
  <si>
    <t>Шанин</t>
  </si>
  <si>
    <t>Шаповалов</t>
  </si>
  <si>
    <t>Шарапова</t>
  </si>
  <si>
    <t>Грязовец, БУ "ЦР ФКС" ГМР ВО  "СОСП ОДО "Грязовецкая ДЮСШ"</t>
  </si>
  <si>
    <t>Шарина</t>
  </si>
  <si>
    <t>Шарипов</t>
  </si>
  <si>
    <t>Марат</t>
  </si>
  <si>
    <t>Шарманкина</t>
  </si>
  <si>
    <t>Шарыгин</t>
  </si>
  <si>
    <t>Шарыпов</t>
  </si>
  <si>
    <t>Шатова</t>
  </si>
  <si>
    <t>Шатохин</t>
  </si>
  <si>
    <t>Шафигулина</t>
  </si>
  <si>
    <t>Шахин</t>
  </si>
  <si>
    <t>Шахназаров</t>
  </si>
  <si>
    <t>Шашерин</t>
  </si>
  <si>
    <t>пгт. Верхнеднепровский, МБУ ДО Верхнеднепровская ДЮСШ</t>
  </si>
  <si>
    <t>Шашова</t>
  </si>
  <si>
    <t>Швалев</t>
  </si>
  <si>
    <t>Шведов</t>
  </si>
  <si>
    <t>Швец</t>
  </si>
  <si>
    <t>Шевелев</t>
  </si>
  <si>
    <t>Шевелёв</t>
  </si>
  <si>
    <t>Нижневартовск, МАУ г. Нижневартовска "СШОР"</t>
  </si>
  <si>
    <t>Шевнина</t>
  </si>
  <si>
    <t>Шевцов</t>
  </si>
  <si>
    <t>Шевченко</t>
  </si>
  <si>
    <t>Шевчук</t>
  </si>
  <si>
    <t>Шегай</t>
  </si>
  <si>
    <t>Шелепов</t>
  </si>
  <si>
    <t>Шеллер</t>
  </si>
  <si>
    <t>Шельванский</t>
  </si>
  <si>
    <t>Шельпякова</t>
  </si>
  <si>
    <t>Шеметов</t>
  </si>
  <si>
    <t>Шепелев</t>
  </si>
  <si>
    <t>Шепелева</t>
  </si>
  <si>
    <t>Шепель</t>
  </si>
  <si>
    <t>Шергин</t>
  </si>
  <si>
    <t>Шерипова</t>
  </si>
  <si>
    <t>Шерстнев</t>
  </si>
  <si>
    <t>Шершнев</t>
  </si>
  <si>
    <t>Шестаков</t>
  </si>
  <si>
    <t>Шестакова</t>
  </si>
  <si>
    <t>Шетько</t>
  </si>
  <si>
    <t>Шибанова</t>
  </si>
  <si>
    <t>Шибко</t>
  </si>
  <si>
    <t>Шигарева</t>
  </si>
  <si>
    <t>Шиленков</t>
  </si>
  <si>
    <t>Шилов</t>
  </si>
  <si>
    <t>Шипилова</t>
  </si>
  <si>
    <t>Ширина</t>
  </si>
  <si>
    <t>Ширинкина</t>
  </si>
  <si>
    <t>Ширшов</t>
  </si>
  <si>
    <t>Ширшова</t>
  </si>
  <si>
    <t>Ширяев</t>
  </si>
  <si>
    <t>Шитов</t>
  </si>
  <si>
    <t>Шихлинцов</t>
  </si>
  <si>
    <t>Шишалов</t>
  </si>
  <si>
    <t>Шишкин</t>
  </si>
  <si>
    <t>Шишкина</t>
  </si>
  <si>
    <t>Шишова</t>
  </si>
  <si>
    <t>Школьников</t>
  </si>
  <si>
    <t>Шлепнина</t>
  </si>
  <si>
    <t>Шмакова</t>
  </si>
  <si>
    <t>Шмарук</t>
  </si>
  <si>
    <t>Шматко</t>
  </si>
  <si>
    <t>Шмонин</t>
  </si>
  <si>
    <t>Шмырева</t>
  </si>
  <si>
    <t>Шнейдер</t>
  </si>
  <si>
    <t>Шопин</t>
  </si>
  <si>
    <t>г. Ульяновск, ОГБУ "УСШОР по биатлону", ЦСКА</t>
  </si>
  <si>
    <t>Шорохов</t>
  </si>
  <si>
    <t>Шпакова</t>
  </si>
  <si>
    <t>Шперлинг</t>
  </si>
  <si>
    <t>Герман</t>
  </si>
  <si>
    <t>Шпилевой</t>
  </si>
  <si>
    <t>Штанов</t>
  </si>
  <si>
    <t>Шубкин</t>
  </si>
  <si>
    <t>Шуваева</t>
  </si>
  <si>
    <t>Шульга</t>
  </si>
  <si>
    <t>Шульгин</t>
  </si>
  <si>
    <t>Шумаев</t>
  </si>
  <si>
    <t>Шумилова</t>
  </si>
  <si>
    <t>Шутов</t>
  </si>
  <si>
    <t>Шутова</t>
  </si>
  <si>
    <t>Шутько</t>
  </si>
  <si>
    <t>Щапов</t>
  </si>
  <si>
    <t>Щёголева</t>
  </si>
  <si>
    <t>Щеголихина</t>
  </si>
  <si>
    <t>Щедрин</t>
  </si>
  <si>
    <t>Щёкина</t>
  </si>
  <si>
    <t>Щепанский</t>
  </si>
  <si>
    <t>Щепотьев</t>
  </si>
  <si>
    <t>Щербакова</t>
  </si>
  <si>
    <t>Щербина</t>
  </si>
  <si>
    <t>Щербинкин</t>
  </si>
  <si>
    <t>Щипунов</t>
  </si>
  <si>
    <t>Щукин</t>
  </si>
  <si>
    <t>Эйдельман</t>
  </si>
  <si>
    <t>Экзархо</t>
  </si>
  <si>
    <t>Эмер</t>
  </si>
  <si>
    <t>Югансон</t>
  </si>
  <si>
    <t>Юдин</t>
  </si>
  <si>
    <t>Юзенас</t>
  </si>
  <si>
    <t>Юнин</t>
  </si>
  <si>
    <t>Юношев</t>
  </si>
  <si>
    <t>Юнусов</t>
  </si>
  <si>
    <t>Юрков</t>
  </si>
  <si>
    <t>Юрлова-Перхт</t>
  </si>
  <si>
    <t>г. Санкт-Петербург, СПб ГБУ СШОР "ШВСМ по ЗВС", Динамо</t>
  </si>
  <si>
    <t>Юрченков</t>
  </si>
  <si>
    <t>Языков</t>
  </si>
  <si>
    <t>Якимов</t>
  </si>
  <si>
    <t>Яковлев</t>
  </si>
  <si>
    <t>Юноши 14-15 лет</t>
  </si>
  <si>
    <t>Яковлева</t>
  </si>
  <si>
    <t>Яковченко</t>
  </si>
  <si>
    <t>Якорь</t>
  </si>
  <si>
    <t>Якубаускас</t>
  </si>
  <si>
    <t>Якунин</t>
  </si>
  <si>
    <t>Якутина</t>
  </si>
  <si>
    <t>Якушев</t>
  </si>
  <si>
    <t>Якушова</t>
  </si>
  <si>
    <t>Ямалтдинов</t>
  </si>
  <si>
    <t>Линар</t>
  </si>
  <si>
    <t>Ямышев</t>
  </si>
  <si>
    <t>Янин</t>
  </si>
  <si>
    <t>Яньшин</t>
  </si>
  <si>
    <t>Яргутов</t>
  </si>
  <si>
    <t>Яруничева</t>
  </si>
  <si>
    <t>Ярушкина</t>
  </si>
  <si>
    <t>Ястребов</t>
  </si>
  <si>
    <t>Яуя</t>
  </si>
  <si>
    <t>Яценко</t>
  </si>
  <si>
    <t>Яшунькина</t>
  </si>
  <si>
    <t>Ящук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</si>
</sst>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30"/>
  <sheetViews>
    <sheetView tabSelected="1" workbookViewId="0">
      <selection activeCell="A2" sqref="A2"/>
    </sheetView>
  </sheetViews>
  <sheetFormatPr defaultRowHeight="15"/>
  <cols>
    <col min="2" max="2" width="13.140625" bestFit="1" customWidth="1"/>
    <col min="3" max="3" width="18.7109375" bestFit="1" customWidth="1"/>
    <col min="4" max="4" width="16.140625" bestFit="1" customWidth="1"/>
    <col min="5" max="5" width="2.7109375" customWidth="1"/>
    <col min="6" max="6" width="2.42578125" customWidth="1"/>
    <col min="7" max="7" width="3.140625" customWidth="1"/>
    <col min="8" max="8" width="18.28515625" bestFit="1" customWidth="1"/>
    <col min="9" max="9" width="51.28515625" bestFit="1" customWidth="1"/>
    <col min="11" max="11" width="93" bestFit="1" customWidth="1"/>
    <col min="12" max="12" width="8.7109375" bestFit="1" customWidth="1"/>
    <col min="13" max="13" width="10.7109375" customWidth="1"/>
  </cols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>
      <c r="A2" t="s">
        <v>14</v>
      </c>
      <c r="B2" t="str">
        <f>"121705200401"</f>
        <v>121705200401</v>
      </c>
      <c r="C2" t="s">
        <v>960</v>
      </c>
      <c r="D2" t="s">
        <v>31</v>
      </c>
      <c r="G2" t="s">
        <v>32</v>
      </c>
      <c r="H2" t="s">
        <v>33</v>
      </c>
      <c r="I2" t="s">
        <v>474</v>
      </c>
      <c r="J2" t="s">
        <v>475</v>
      </c>
      <c r="K2" t="s">
        <v>872</v>
      </c>
      <c r="L2" t="s">
        <v>63</v>
      </c>
      <c r="M2" s="1">
        <v>38124</v>
      </c>
      <c r="N2">
        <v>2004</v>
      </c>
    </row>
    <row r="3" spans="1:14">
      <c r="A3" t="s">
        <v>14</v>
      </c>
      <c r="B3" t="str">
        <f>"120608200500"</f>
        <v>120608200500</v>
      </c>
      <c r="C3" t="s">
        <v>1463</v>
      </c>
      <c r="D3" t="s">
        <v>58</v>
      </c>
      <c r="G3" t="s">
        <v>32</v>
      </c>
      <c r="H3" t="s">
        <v>33</v>
      </c>
      <c r="I3" t="s">
        <v>474</v>
      </c>
      <c r="J3" t="s">
        <v>475</v>
      </c>
      <c r="K3" t="s">
        <v>710</v>
      </c>
      <c r="L3" t="s">
        <v>22</v>
      </c>
      <c r="M3" s="1">
        <v>38570</v>
      </c>
      <c r="N3">
        <v>2005</v>
      </c>
    </row>
    <row r="4" spans="1:14">
      <c r="A4" t="s">
        <v>14</v>
      </c>
      <c r="B4" t="str">
        <f>"122604200401"</f>
        <v>122604200401</v>
      </c>
      <c r="C4" t="s">
        <v>1713</v>
      </c>
      <c r="D4" t="s">
        <v>58</v>
      </c>
      <c r="G4" t="s">
        <v>32</v>
      </c>
      <c r="H4" t="s">
        <v>33</v>
      </c>
      <c r="I4" t="s">
        <v>474</v>
      </c>
      <c r="J4" t="s">
        <v>475</v>
      </c>
      <c r="K4" t="s">
        <v>710</v>
      </c>
      <c r="L4" t="s">
        <v>63</v>
      </c>
      <c r="M4" s="1">
        <v>38103</v>
      </c>
      <c r="N4">
        <v>2004</v>
      </c>
    </row>
    <row r="5" spans="1:14">
      <c r="A5" t="s">
        <v>14</v>
      </c>
      <c r="B5" t="str">
        <f>"122704200400"</f>
        <v>122704200400</v>
      </c>
      <c r="C5" t="s">
        <v>2499</v>
      </c>
      <c r="D5" t="s">
        <v>310</v>
      </c>
      <c r="G5" t="s">
        <v>32</v>
      </c>
      <c r="H5" t="s">
        <v>33</v>
      </c>
      <c r="I5" t="s">
        <v>474</v>
      </c>
      <c r="J5" t="s">
        <v>475</v>
      </c>
      <c r="K5" t="s">
        <v>710</v>
      </c>
      <c r="L5" t="s">
        <v>22</v>
      </c>
      <c r="M5" s="1">
        <v>38104</v>
      </c>
      <c r="N5">
        <v>2004</v>
      </c>
    </row>
    <row r="6" spans="1:14">
      <c r="A6" t="s">
        <v>14</v>
      </c>
      <c r="B6" t="str">
        <f>"120707200300"</f>
        <v>120707200300</v>
      </c>
      <c r="C6" t="s">
        <v>473</v>
      </c>
      <c r="D6" t="s">
        <v>152</v>
      </c>
      <c r="G6" t="s">
        <v>32</v>
      </c>
      <c r="H6" t="s">
        <v>65</v>
      </c>
      <c r="I6" t="s">
        <v>474</v>
      </c>
      <c r="J6" t="s">
        <v>475</v>
      </c>
      <c r="K6" t="s">
        <v>476</v>
      </c>
      <c r="L6" t="s">
        <v>63</v>
      </c>
      <c r="M6" s="1">
        <v>37809</v>
      </c>
      <c r="N6">
        <v>2003</v>
      </c>
    </row>
    <row r="7" spans="1:14">
      <c r="A7" t="s">
        <v>14</v>
      </c>
      <c r="B7" t="str">
        <f>"122807200300"</f>
        <v>122807200300</v>
      </c>
      <c r="C7" t="s">
        <v>517</v>
      </c>
      <c r="D7" t="s">
        <v>58</v>
      </c>
      <c r="G7" t="s">
        <v>32</v>
      </c>
      <c r="H7" t="s">
        <v>65</v>
      </c>
      <c r="I7" t="s">
        <v>474</v>
      </c>
      <c r="J7" t="s">
        <v>475</v>
      </c>
      <c r="K7" t="s">
        <v>476</v>
      </c>
      <c r="L7" t="s">
        <v>22</v>
      </c>
      <c r="M7" s="1">
        <v>37830</v>
      </c>
      <c r="N7">
        <v>2003</v>
      </c>
    </row>
    <row r="8" spans="1:14">
      <c r="A8" t="s">
        <v>14</v>
      </c>
      <c r="B8" t="str">
        <f>"120304200300"</f>
        <v>120304200300</v>
      </c>
      <c r="C8" t="s">
        <v>838</v>
      </c>
      <c r="D8" t="s">
        <v>233</v>
      </c>
      <c r="G8" t="s">
        <v>32</v>
      </c>
      <c r="H8" t="s">
        <v>65</v>
      </c>
      <c r="I8" t="s">
        <v>474</v>
      </c>
      <c r="J8" t="s">
        <v>475</v>
      </c>
      <c r="K8" t="s">
        <v>476</v>
      </c>
      <c r="L8" t="s">
        <v>63</v>
      </c>
      <c r="M8" s="1">
        <v>37714</v>
      </c>
      <c r="N8">
        <v>2003</v>
      </c>
    </row>
    <row r="9" spans="1:14">
      <c r="A9" t="s">
        <v>14</v>
      </c>
      <c r="B9" t="str">
        <f>"120612200200"</f>
        <v>120612200200</v>
      </c>
      <c r="C9" t="s">
        <v>871</v>
      </c>
      <c r="D9" t="s">
        <v>127</v>
      </c>
      <c r="G9" t="s">
        <v>32</v>
      </c>
      <c r="H9" t="s">
        <v>65</v>
      </c>
      <c r="I9" t="s">
        <v>474</v>
      </c>
      <c r="J9" t="s">
        <v>475</v>
      </c>
      <c r="K9" t="s">
        <v>872</v>
      </c>
      <c r="L9" t="s">
        <v>63</v>
      </c>
      <c r="M9" s="1">
        <v>37596</v>
      </c>
      <c r="N9">
        <v>2002</v>
      </c>
    </row>
    <row r="10" spans="1:14">
      <c r="A10" t="s">
        <v>14</v>
      </c>
      <c r="B10" t="str">
        <f>"121111200200"</f>
        <v>121111200200</v>
      </c>
      <c r="C10" t="s">
        <v>1086</v>
      </c>
      <c r="D10" t="s">
        <v>409</v>
      </c>
      <c r="G10" t="s">
        <v>32</v>
      </c>
      <c r="H10" t="s">
        <v>65</v>
      </c>
      <c r="I10" t="s">
        <v>474</v>
      </c>
      <c r="J10" t="s">
        <v>475</v>
      </c>
      <c r="K10" t="s">
        <v>1085</v>
      </c>
      <c r="L10" t="s">
        <v>63</v>
      </c>
      <c r="M10" s="1">
        <v>37571</v>
      </c>
      <c r="N10">
        <v>2002</v>
      </c>
    </row>
    <row r="11" spans="1:14">
      <c r="A11" t="s">
        <v>14</v>
      </c>
      <c r="B11" t="str">
        <f>"120309200300"</f>
        <v>120309200300</v>
      </c>
      <c r="C11" t="s">
        <v>1688</v>
      </c>
      <c r="D11" t="s">
        <v>332</v>
      </c>
      <c r="G11" t="s">
        <v>32</v>
      </c>
      <c r="H11" t="s">
        <v>65</v>
      </c>
      <c r="I11" t="s">
        <v>474</v>
      </c>
      <c r="J11" t="s">
        <v>475</v>
      </c>
      <c r="K11" t="s">
        <v>476</v>
      </c>
      <c r="L11" t="s">
        <v>22</v>
      </c>
      <c r="M11" s="1">
        <v>37867</v>
      </c>
      <c r="N11">
        <v>2003</v>
      </c>
    </row>
    <row r="12" spans="1:14">
      <c r="A12" t="s">
        <v>14</v>
      </c>
      <c r="B12" t="str">
        <f>"122809200302"</f>
        <v>122809200302</v>
      </c>
      <c r="C12" t="s">
        <v>1945</v>
      </c>
      <c r="D12" t="s">
        <v>233</v>
      </c>
      <c r="G12" t="s">
        <v>32</v>
      </c>
      <c r="H12" t="s">
        <v>65</v>
      </c>
      <c r="I12" t="s">
        <v>474</v>
      </c>
      <c r="J12" t="s">
        <v>475</v>
      </c>
      <c r="K12" t="s">
        <v>710</v>
      </c>
      <c r="L12" t="s">
        <v>22</v>
      </c>
      <c r="M12" s="1">
        <v>37892</v>
      </c>
      <c r="N12">
        <v>2003</v>
      </c>
    </row>
    <row r="13" spans="1:14">
      <c r="A13" t="s">
        <v>14</v>
      </c>
      <c r="B13" t="str">
        <f>"120707200301"</f>
        <v>120707200301</v>
      </c>
      <c r="C13" t="s">
        <v>2060</v>
      </c>
      <c r="D13" t="s">
        <v>58</v>
      </c>
      <c r="G13" t="s">
        <v>32</v>
      </c>
      <c r="H13" t="s">
        <v>65</v>
      </c>
      <c r="I13" t="s">
        <v>474</v>
      </c>
      <c r="J13" t="s">
        <v>475</v>
      </c>
      <c r="K13" t="s">
        <v>476</v>
      </c>
      <c r="L13" t="s">
        <v>22</v>
      </c>
      <c r="M13" s="1">
        <v>37809</v>
      </c>
      <c r="N13">
        <v>2003</v>
      </c>
    </row>
    <row r="14" spans="1:14">
      <c r="A14" t="s">
        <v>14</v>
      </c>
      <c r="B14" t="str">
        <f>"122201200201"</f>
        <v>122201200201</v>
      </c>
      <c r="C14" t="s">
        <v>2396</v>
      </c>
      <c r="D14" t="s">
        <v>611</v>
      </c>
      <c r="G14" t="s">
        <v>32</v>
      </c>
      <c r="H14" t="s">
        <v>65</v>
      </c>
      <c r="I14" t="s">
        <v>474</v>
      </c>
      <c r="J14" t="s">
        <v>475</v>
      </c>
      <c r="K14" t="s">
        <v>476</v>
      </c>
      <c r="L14" t="s">
        <v>22</v>
      </c>
      <c r="M14" s="1">
        <v>37278</v>
      </c>
      <c r="N14">
        <v>2002</v>
      </c>
    </row>
    <row r="15" spans="1:14">
      <c r="A15" t="s">
        <v>14</v>
      </c>
      <c r="B15" t="str">
        <f>"122003200300"</f>
        <v>122003200300</v>
      </c>
      <c r="C15" t="s">
        <v>2823</v>
      </c>
      <c r="D15" t="s">
        <v>310</v>
      </c>
      <c r="G15" t="s">
        <v>32</v>
      </c>
      <c r="H15" t="s">
        <v>65</v>
      </c>
      <c r="I15" t="s">
        <v>474</v>
      </c>
      <c r="J15" t="s">
        <v>475</v>
      </c>
      <c r="K15" t="s">
        <v>476</v>
      </c>
      <c r="L15" t="s">
        <v>22</v>
      </c>
      <c r="M15" s="1">
        <v>37700</v>
      </c>
      <c r="N15">
        <v>2003</v>
      </c>
    </row>
    <row r="16" spans="1:14">
      <c r="A16" t="s">
        <v>14</v>
      </c>
      <c r="B16" t="str">
        <f>"111411200002"</f>
        <v>111411200002</v>
      </c>
      <c r="C16" t="s">
        <v>727</v>
      </c>
      <c r="D16" t="s">
        <v>728</v>
      </c>
      <c r="G16" t="s">
        <v>17</v>
      </c>
      <c r="H16" t="s">
        <v>18</v>
      </c>
      <c r="I16" t="s">
        <v>474</v>
      </c>
      <c r="J16" t="s">
        <v>475</v>
      </c>
      <c r="K16" t="s">
        <v>710</v>
      </c>
      <c r="L16" t="s">
        <v>63</v>
      </c>
      <c r="M16" s="1">
        <v>36844</v>
      </c>
      <c r="N16">
        <v>2000</v>
      </c>
    </row>
    <row r="17" spans="1:14">
      <c r="A17" t="s">
        <v>14</v>
      </c>
      <c r="B17" t="str">
        <f>"110209200100"</f>
        <v>110209200100</v>
      </c>
      <c r="C17" t="s">
        <v>1084</v>
      </c>
      <c r="D17" t="s">
        <v>181</v>
      </c>
      <c r="G17" t="s">
        <v>17</v>
      </c>
      <c r="H17" t="s">
        <v>18</v>
      </c>
      <c r="I17" t="s">
        <v>474</v>
      </c>
      <c r="J17" t="s">
        <v>475</v>
      </c>
      <c r="K17" t="s">
        <v>1085</v>
      </c>
      <c r="L17" t="s">
        <v>63</v>
      </c>
      <c r="M17" s="1">
        <v>37136</v>
      </c>
      <c r="N17">
        <v>2001</v>
      </c>
    </row>
    <row r="18" spans="1:14">
      <c r="A18" t="s">
        <v>14</v>
      </c>
      <c r="B18" t="str">
        <f>"111407200001"</f>
        <v>111407200001</v>
      </c>
      <c r="C18" t="s">
        <v>1300</v>
      </c>
      <c r="D18" t="s">
        <v>373</v>
      </c>
      <c r="G18" t="s">
        <v>17</v>
      </c>
      <c r="H18" t="s">
        <v>18</v>
      </c>
      <c r="I18" t="s">
        <v>474</v>
      </c>
      <c r="J18" t="s">
        <v>475</v>
      </c>
      <c r="K18" t="s">
        <v>476</v>
      </c>
      <c r="L18" t="s">
        <v>63</v>
      </c>
      <c r="M18" s="1">
        <v>36721</v>
      </c>
      <c r="N18">
        <v>2000</v>
      </c>
    </row>
    <row r="19" spans="1:14">
      <c r="A19" t="s">
        <v>14</v>
      </c>
      <c r="B19" t="str">
        <f>"112003200000"</f>
        <v>112003200000</v>
      </c>
      <c r="C19" t="s">
        <v>1422</v>
      </c>
      <c r="D19" t="s">
        <v>268</v>
      </c>
      <c r="G19" t="s">
        <v>17</v>
      </c>
      <c r="H19" t="s">
        <v>18</v>
      </c>
      <c r="I19" t="s">
        <v>474</v>
      </c>
      <c r="J19" t="s">
        <v>475</v>
      </c>
      <c r="K19" t="s">
        <v>476</v>
      </c>
      <c r="L19" t="s">
        <v>63</v>
      </c>
      <c r="M19" s="1">
        <v>36605</v>
      </c>
      <c r="N19">
        <v>2000</v>
      </c>
    </row>
    <row r="20" spans="1:14">
      <c r="A20" t="s">
        <v>14</v>
      </c>
      <c r="B20" t="str">
        <f>"110807200101"</f>
        <v>110807200101</v>
      </c>
      <c r="C20" t="s">
        <v>1568</v>
      </c>
      <c r="D20" t="s">
        <v>373</v>
      </c>
      <c r="G20" t="s">
        <v>17</v>
      </c>
      <c r="H20" t="s">
        <v>18</v>
      </c>
      <c r="I20" t="s">
        <v>474</v>
      </c>
      <c r="J20" t="s">
        <v>475</v>
      </c>
      <c r="K20" t="s">
        <v>476</v>
      </c>
      <c r="L20" t="s">
        <v>22</v>
      </c>
      <c r="M20" s="1">
        <v>37080</v>
      </c>
      <c r="N20">
        <v>2001</v>
      </c>
    </row>
    <row r="21" spans="1:14">
      <c r="A21" t="s">
        <v>14</v>
      </c>
      <c r="B21" t="str">
        <f>"111604200000"</f>
        <v>111604200000</v>
      </c>
      <c r="C21" t="s">
        <v>2392</v>
      </c>
      <c r="D21" t="s">
        <v>89</v>
      </c>
      <c r="G21" t="s">
        <v>17</v>
      </c>
      <c r="H21" t="s">
        <v>18</v>
      </c>
      <c r="I21" t="s">
        <v>474</v>
      </c>
      <c r="J21" t="s">
        <v>475</v>
      </c>
      <c r="K21" t="s">
        <v>476</v>
      </c>
      <c r="L21" t="s">
        <v>63</v>
      </c>
      <c r="M21" s="1">
        <v>36632</v>
      </c>
      <c r="N21">
        <v>2000</v>
      </c>
    </row>
    <row r="22" spans="1:14">
      <c r="A22" t="s">
        <v>14</v>
      </c>
      <c r="B22" t="str">
        <f>"111303200400"</f>
        <v>111303200400</v>
      </c>
      <c r="C22" t="s">
        <v>709</v>
      </c>
      <c r="D22" t="s">
        <v>100</v>
      </c>
      <c r="G22" t="s">
        <v>17</v>
      </c>
      <c r="H22" t="s">
        <v>39</v>
      </c>
      <c r="I22" t="s">
        <v>474</v>
      </c>
      <c r="J22" t="s">
        <v>475</v>
      </c>
      <c r="K22" t="s">
        <v>710</v>
      </c>
      <c r="L22" t="s">
        <v>63</v>
      </c>
      <c r="M22" s="1">
        <v>38059</v>
      </c>
      <c r="N22">
        <v>2004</v>
      </c>
    </row>
    <row r="23" spans="1:14">
      <c r="A23" t="s">
        <v>14</v>
      </c>
      <c r="B23" t="str">
        <f>"110704200501"</f>
        <v>110704200501</v>
      </c>
      <c r="C23" t="s">
        <v>1589</v>
      </c>
      <c r="D23" t="s">
        <v>392</v>
      </c>
      <c r="G23" t="s">
        <v>17</v>
      </c>
      <c r="H23" t="s">
        <v>39</v>
      </c>
      <c r="I23" t="s">
        <v>474</v>
      </c>
      <c r="J23" t="s">
        <v>475</v>
      </c>
      <c r="K23" t="s">
        <v>974</v>
      </c>
      <c r="L23" t="s">
        <v>22</v>
      </c>
      <c r="M23" s="1">
        <v>38449</v>
      </c>
      <c r="N23">
        <v>2005</v>
      </c>
    </row>
    <row r="24" spans="1:14">
      <c r="A24" t="s">
        <v>14</v>
      </c>
      <c r="B24" t="str">
        <f>"113001200400"</f>
        <v>113001200400</v>
      </c>
      <c r="C24" t="s">
        <v>2199</v>
      </c>
      <c r="D24" t="s">
        <v>136</v>
      </c>
      <c r="G24" t="s">
        <v>17</v>
      </c>
      <c r="H24" t="s">
        <v>39</v>
      </c>
      <c r="I24" t="s">
        <v>474</v>
      </c>
      <c r="J24" t="s">
        <v>475</v>
      </c>
      <c r="K24" t="s">
        <v>710</v>
      </c>
      <c r="L24" t="s">
        <v>22</v>
      </c>
      <c r="M24" s="1">
        <v>38016</v>
      </c>
      <c r="N24">
        <v>2004</v>
      </c>
    </row>
    <row r="25" spans="1:14">
      <c r="A25" t="s">
        <v>14</v>
      </c>
      <c r="B25" t="str">
        <f>"110207200401"</f>
        <v>110207200401</v>
      </c>
      <c r="C25" t="s">
        <v>2859</v>
      </c>
      <c r="D25" t="s">
        <v>653</v>
      </c>
      <c r="G25" t="s">
        <v>17</v>
      </c>
      <c r="H25" t="s">
        <v>39</v>
      </c>
      <c r="I25" t="s">
        <v>474</v>
      </c>
      <c r="J25" t="s">
        <v>475</v>
      </c>
      <c r="K25" t="s">
        <v>974</v>
      </c>
      <c r="L25" t="s">
        <v>22</v>
      </c>
      <c r="M25" s="1">
        <v>38170</v>
      </c>
      <c r="N25">
        <v>2004</v>
      </c>
    </row>
    <row r="26" spans="1:14">
      <c r="A26" t="s">
        <v>14</v>
      </c>
      <c r="B26" t="str">
        <f>"110305200302"</f>
        <v>110305200302</v>
      </c>
      <c r="C26" t="s">
        <v>560</v>
      </c>
      <c r="D26" t="s">
        <v>24</v>
      </c>
      <c r="G26" t="s">
        <v>17</v>
      </c>
      <c r="H26" t="s">
        <v>51</v>
      </c>
      <c r="I26" t="s">
        <v>474</v>
      </c>
      <c r="J26" t="s">
        <v>475</v>
      </c>
      <c r="K26" t="s">
        <v>561</v>
      </c>
      <c r="M26" s="1">
        <v>37744</v>
      </c>
      <c r="N26">
        <v>2003</v>
      </c>
    </row>
    <row r="27" spans="1:14">
      <c r="A27" t="s">
        <v>14</v>
      </c>
      <c r="B27" t="str">
        <f>"112206200300"</f>
        <v>112206200300</v>
      </c>
      <c r="C27" t="s">
        <v>575</v>
      </c>
      <c r="D27" t="s">
        <v>259</v>
      </c>
      <c r="G27" t="s">
        <v>17</v>
      </c>
      <c r="H27" t="s">
        <v>51</v>
      </c>
      <c r="I27" t="s">
        <v>474</v>
      </c>
      <c r="J27" t="s">
        <v>475</v>
      </c>
      <c r="K27" t="s">
        <v>476</v>
      </c>
      <c r="L27" t="s">
        <v>22</v>
      </c>
      <c r="M27" s="1">
        <v>37794</v>
      </c>
      <c r="N27">
        <v>2003</v>
      </c>
    </row>
    <row r="28" spans="1:14">
      <c r="A28" t="s">
        <v>14</v>
      </c>
      <c r="B28" t="str">
        <f>"113004200300"</f>
        <v>113004200300</v>
      </c>
      <c r="C28" t="s">
        <v>1278</v>
      </c>
      <c r="D28" t="s">
        <v>155</v>
      </c>
      <c r="G28" t="s">
        <v>17</v>
      </c>
      <c r="H28" t="s">
        <v>51</v>
      </c>
      <c r="I28" t="s">
        <v>474</v>
      </c>
      <c r="J28" t="s">
        <v>475</v>
      </c>
      <c r="K28" t="s">
        <v>476</v>
      </c>
      <c r="L28" t="s">
        <v>22</v>
      </c>
      <c r="M28" s="1">
        <v>37741</v>
      </c>
      <c r="N28">
        <v>2003</v>
      </c>
    </row>
    <row r="29" spans="1:14">
      <c r="A29" t="s">
        <v>14</v>
      </c>
      <c r="B29" t="str">
        <f>"112204200201"</f>
        <v>112204200201</v>
      </c>
      <c r="C29" t="s">
        <v>1323</v>
      </c>
      <c r="D29" t="s">
        <v>24</v>
      </c>
      <c r="G29" t="s">
        <v>17</v>
      </c>
      <c r="H29" t="s">
        <v>51</v>
      </c>
      <c r="I29" t="s">
        <v>474</v>
      </c>
      <c r="J29" t="s">
        <v>475</v>
      </c>
      <c r="K29" t="s">
        <v>561</v>
      </c>
      <c r="L29" t="s">
        <v>22</v>
      </c>
      <c r="M29" s="1">
        <v>37368</v>
      </c>
      <c r="N29">
        <v>2002</v>
      </c>
    </row>
    <row r="30" spans="1:14">
      <c r="A30" t="s">
        <v>14</v>
      </c>
      <c r="B30" t="str">
        <f>"110909200300"</f>
        <v>110909200300</v>
      </c>
      <c r="C30" t="s">
        <v>1862</v>
      </c>
      <c r="D30" t="s">
        <v>209</v>
      </c>
      <c r="G30" t="s">
        <v>17</v>
      </c>
      <c r="H30" t="s">
        <v>51</v>
      </c>
      <c r="I30" t="s">
        <v>474</v>
      </c>
      <c r="J30" t="s">
        <v>475</v>
      </c>
      <c r="K30" t="s">
        <v>1085</v>
      </c>
      <c r="L30" t="s">
        <v>63</v>
      </c>
      <c r="M30" s="1">
        <v>37873</v>
      </c>
      <c r="N30">
        <v>2003</v>
      </c>
    </row>
    <row r="31" spans="1:14">
      <c r="A31" t="s">
        <v>14</v>
      </c>
      <c r="B31" t="str">
        <f>"111412200201"</f>
        <v>111412200201</v>
      </c>
      <c r="C31" t="s">
        <v>1980</v>
      </c>
      <c r="D31" t="s">
        <v>283</v>
      </c>
      <c r="G31" t="s">
        <v>17</v>
      </c>
      <c r="H31" t="s">
        <v>51</v>
      </c>
      <c r="I31" t="s">
        <v>474</v>
      </c>
      <c r="J31" t="s">
        <v>475</v>
      </c>
      <c r="K31" t="s">
        <v>561</v>
      </c>
      <c r="L31" t="s">
        <v>22</v>
      </c>
      <c r="M31" s="1">
        <v>37604</v>
      </c>
      <c r="N31">
        <v>2002</v>
      </c>
    </row>
    <row r="32" spans="1:14">
      <c r="A32" t="s">
        <v>14</v>
      </c>
      <c r="B32" t="str">
        <f>"112806200301"</f>
        <v>112806200301</v>
      </c>
      <c r="C32" t="s">
        <v>2136</v>
      </c>
      <c r="D32" t="s">
        <v>129</v>
      </c>
      <c r="G32" t="s">
        <v>17</v>
      </c>
      <c r="H32" t="s">
        <v>51</v>
      </c>
      <c r="I32" t="s">
        <v>474</v>
      </c>
      <c r="J32" t="s">
        <v>475</v>
      </c>
      <c r="K32" t="s">
        <v>872</v>
      </c>
      <c r="L32" t="s">
        <v>63</v>
      </c>
      <c r="M32" s="1">
        <v>37800</v>
      </c>
      <c r="N32">
        <v>2003</v>
      </c>
    </row>
    <row r="33" spans="1:14">
      <c r="A33" t="s">
        <v>14</v>
      </c>
      <c r="B33" t="str">
        <f>"111301200300"</f>
        <v>111301200300</v>
      </c>
      <c r="C33" t="s">
        <v>2204</v>
      </c>
      <c r="D33" t="s">
        <v>221</v>
      </c>
      <c r="G33" t="s">
        <v>17</v>
      </c>
      <c r="H33" t="s">
        <v>51</v>
      </c>
      <c r="I33" t="s">
        <v>474</v>
      </c>
      <c r="J33" t="s">
        <v>475</v>
      </c>
      <c r="K33" t="s">
        <v>476</v>
      </c>
      <c r="L33" t="s">
        <v>63</v>
      </c>
      <c r="M33" s="1">
        <v>37634</v>
      </c>
      <c r="N33">
        <v>2003</v>
      </c>
    </row>
    <row r="34" spans="1:14">
      <c r="A34" t="s">
        <v>14</v>
      </c>
      <c r="B34" t="str">
        <f>"111805200301"</f>
        <v>111805200301</v>
      </c>
      <c r="C34" t="s">
        <v>2299</v>
      </c>
      <c r="D34" t="s">
        <v>221</v>
      </c>
      <c r="G34" t="s">
        <v>17</v>
      </c>
      <c r="H34" t="s">
        <v>51</v>
      </c>
      <c r="I34" t="s">
        <v>474</v>
      </c>
      <c r="J34" t="s">
        <v>475</v>
      </c>
      <c r="K34" t="s">
        <v>476</v>
      </c>
      <c r="L34" t="s">
        <v>22</v>
      </c>
      <c r="M34" s="1">
        <v>37759</v>
      </c>
      <c r="N34">
        <v>2003</v>
      </c>
    </row>
    <row r="35" spans="1:14">
      <c r="A35" t="s">
        <v>14</v>
      </c>
      <c r="B35" t="str">
        <f>"112101200300"</f>
        <v>112101200300</v>
      </c>
      <c r="C35" t="s">
        <v>2383</v>
      </c>
      <c r="D35" t="s">
        <v>268</v>
      </c>
      <c r="G35" t="s">
        <v>17</v>
      </c>
      <c r="H35" t="s">
        <v>51</v>
      </c>
      <c r="I35" t="s">
        <v>474</v>
      </c>
      <c r="J35" t="s">
        <v>475</v>
      </c>
      <c r="K35" t="s">
        <v>872</v>
      </c>
      <c r="L35" t="s">
        <v>63</v>
      </c>
      <c r="M35" s="1">
        <v>37642</v>
      </c>
      <c r="N35">
        <v>2003</v>
      </c>
    </row>
    <row r="36" spans="1:14">
      <c r="A36" t="s">
        <v>14</v>
      </c>
      <c r="B36" t="str">
        <f>"122301200301"</f>
        <v>122301200301</v>
      </c>
      <c r="C36" t="s">
        <v>1459</v>
      </c>
      <c r="D36" t="s">
        <v>58</v>
      </c>
      <c r="G36" t="s">
        <v>32</v>
      </c>
      <c r="H36" t="s">
        <v>65</v>
      </c>
      <c r="I36" t="s">
        <v>668</v>
      </c>
      <c r="J36" t="s">
        <v>475</v>
      </c>
      <c r="K36" t="s">
        <v>710</v>
      </c>
      <c r="L36" t="s">
        <v>63</v>
      </c>
      <c r="M36" s="1">
        <v>37644</v>
      </c>
      <c r="N36">
        <v>2003</v>
      </c>
    </row>
    <row r="37" spans="1:14">
      <c r="A37" t="s">
        <v>14</v>
      </c>
      <c r="B37" t="str">
        <f>"120910200100"</f>
        <v>120910200100</v>
      </c>
      <c r="C37" t="s">
        <v>667</v>
      </c>
      <c r="D37" t="s">
        <v>127</v>
      </c>
      <c r="G37" t="s">
        <v>32</v>
      </c>
      <c r="H37" t="s">
        <v>44</v>
      </c>
      <c r="I37" t="s">
        <v>668</v>
      </c>
      <c r="J37" t="s">
        <v>475</v>
      </c>
      <c r="K37" t="s">
        <v>476</v>
      </c>
      <c r="L37" t="s">
        <v>63</v>
      </c>
      <c r="M37" s="1">
        <v>37173</v>
      </c>
      <c r="N37">
        <v>2001</v>
      </c>
    </row>
    <row r="38" spans="1:14">
      <c r="A38" t="s">
        <v>14</v>
      </c>
      <c r="B38" t="str">
        <f>"122401200000"</f>
        <v>122401200000</v>
      </c>
      <c r="C38" t="s">
        <v>907</v>
      </c>
      <c r="D38" t="s">
        <v>127</v>
      </c>
      <c r="G38" t="s">
        <v>32</v>
      </c>
      <c r="H38" t="s">
        <v>44</v>
      </c>
      <c r="I38" t="s">
        <v>668</v>
      </c>
      <c r="J38" t="s">
        <v>475</v>
      </c>
      <c r="K38" t="s">
        <v>476</v>
      </c>
      <c r="L38" t="s">
        <v>48</v>
      </c>
      <c r="M38" s="1">
        <v>36549</v>
      </c>
      <c r="N38">
        <v>2000</v>
      </c>
    </row>
    <row r="39" spans="1:14">
      <c r="A39" t="s">
        <v>14</v>
      </c>
      <c r="B39" t="str">
        <f>"122704200101"</f>
        <v>122704200101</v>
      </c>
      <c r="C39" t="s">
        <v>939</v>
      </c>
      <c r="D39" t="s">
        <v>127</v>
      </c>
      <c r="G39" t="s">
        <v>32</v>
      </c>
      <c r="H39" t="s">
        <v>44</v>
      </c>
      <c r="I39" t="s">
        <v>668</v>
      </c>
      <c r="J39" t="s">
        <v>475</v>
      </c>
      <c r="K39" t="s">
        <v>476</v>
      </c>
      <c r="L39" t="s">
        <v>63</v>
      </c>
      <c r="M39" s="1">
        <v>37008</v>
      </c>
      <c r="N39">
        <v>2001</v>
      </c>
    </row>
    <row r="40" spans="1:14">
      <c r="A40" t="s">
        <v>14</v>
      </c>
      <c r="B40" t="str">
        <f>"113004200200"</f>
        <v>113004200200</v>
      </c>
      <c r="C40" t="s">
        <v>973</v>
      </c>
      <c r="D40" t="s">
        <v>558</v>
      </c>
      <c r="G40" t="s">
        <v>17</v>
      </c>
      <c r="H40" t="s">
        <v>51</v>
      </c>
      <c r="I40" t="s">
        <v>668</v>
      </c>
      <c r="J40" t="s">
        <v>475</v>
      </c>
      <c r="K40" t="s">
        <v>974</v>
      </c>
      <c r="L40" t="s">
        <v>63</v>
      </c>
      <c r="M40" s="1">
        <v>37376</v>
      </c>
      <c r="N40">
        <v>2002</v>
      </c>
    </row>
    <row r="41" spans="1:14">
      <c r="A41" t="s">
        <v>14</v>
      </c>
      <c r="B41" t="str">
        <f>"122604200402"</f>
        <v>122604200402</v>
      </c>
      <c r="C41" t="s">
        <v>1821</v>
      </c>
      <c r="D41" t="s">
        <v>723</v>
      </c>
      <c r="G41" t="s">
        <v>32</v>
      </c>
      <c r="H41" t="s">
        <v>33</v>
      </c>
      <c r="I41" t="s">
        <v>846</v>
      </c>
      <c r="J41" t="s">
        <v>847</v>
      </c>
      <c r="K41" t="s">
        <v>1734</v>
      </c>
      <c r="L41" t="s">
        <v>22</v>
      </c>
      <c r="M41" s="1">
        <v>38103</v>
      </c>
      <c r="N41">
        <v>2004</v>
      </c>
    </row>
    <row r="42" spans="1:14">
      <c r="A42" t="s">
        <v>14</v>
      </c>
      <c r="B42" t="str">
        <f>"122806200202"</f>
        <v>122806200202</v>
      </c>
      <c r="C42" t="s">
        <v>2107</v>
      </c>
      <c r="D42" t="s">
        <v>203</v>
      </c>
      <c r="G42" t="s">
        <v>32</v>
      </c>
      <c r="H42" t="s">
        <v>65</v>
      </c>
      <c r="I42" t="s">
        <v>846</v>
      </c>
      <c r="J42" t="s">
        <v>847</v>
      </c>
      <c r="K42" t="s">
        <v>2108</v>
      </c>
      <c r="L42" t="s">
        <v>22</v>
      </c>
      <c r="M42" s="1">
        <v>37435</v>
      </c>
      <c r="N42">
        <v>2002</v>
      </c>
    </row>
    <row r="43" spans="1:14">
      <c r="A43" t="s">
        <v>14</v>
      </c>
      <c r="B43" t="str">
        <f>"121302199200"</f>
        <v>121302199200</v>
      </c>
      <c r="C43" t="s">
        <v>1188</v>
      </c>
      <c r="D43" t="s">
        <v>58</v>
      </c>
      <c r="G43" t="s">
        <v>32</v>
      </c>
      <c r="H43" t="s">
        <v>59</v>
      </c>
      <c r="I43" t="s">
        <v>846</v>
      </c>
      <c r="J43" t="s">
        <v>847</v>
      </c>
      <c r="K43" t="s">
        <v>1189</v>
      </c>
      <c r="L43" t="s">
        <v>48</v>
      </c>
      <c r="M43" s="1">
        <v>33647</v>
      </c>
      <c r="N43">
        <v>1992</v>
      </c>
    </row>
    <row r="44" spans="1:14">
      <c r="A44" t="s">
        <v>14</v>
      </c>
      <c r="B44" t="str">
        <f>"112009199600"</f>
        <v>112009199600</v>
      </c>
      <c r="C44" t="s">
        <v>2096</v>
      </c>
      <c r="D44" t="s">
        <v>259</v>
      </c>
      <c r="G44" t="s">
        <v>17</v>
      </c>
      <c r="H44" t="s">
        <v>25</v>
      </c>
      <c r="I44" t="s">
        <v>846</v>
      </c>
      <c r="J44" t="s">
        <v>847</v>
      </c>
      <c r="K44" t="s">
        <v>848</v>
      </c>
      <c r="M44" s="1">
        <v>35328</v>
      </c>
      <c r="N44">
        <v>1996</v>
      </c>
    </row>
    <row r="45" spans="1:14">
      <c r="A45" t="s">
        <v>14</v>
      </c>
      <c r="B45" t="str">
        <f>"111207199900"</f>
        <v>111207199900</v>
      </c>
      <c r="C45" t="s">
        <v>845</v>
      </c>
      <c r="D45" t="s">
        <v>53</v>
      </c>
      <c r="G45" t="s">
        <v>17</v>
      </c>
      <c r="H45" t="s">
        <v>18</v>
      </c>
      <c r="I45" t="s">
        <v>846</v>
      </c>
      <c r="J45" t="s">
        <v>847</v>
      </c>
      <c r="K45" t="s">
        <v>848</v>
      </c>
      <c r="L45" t="s">
        <v>63</v>
      </c>
      <c r="M45" s="1">
        <v>36353</v>
      </c>
      <c r="N45">
        <v>1999</v>
      </c>
    </row>
    <row r="46" spans="1:14">
      <c r="A46" t="s">
        <v>14</v>
      </c>
      <c r="B46" t="str">
        <f>"112704200102"</f>
        <v>112704200102</v>
      </c>
      <c r="C46" t="s">
        <v>2771</v>
      </c>
      <c r="D46" t="s">
        <v>221</v>
      </c>
      <c r="G46" t="s">
        <v>17</v>
      </c>
      <c r="H46" t="s">
        <v>18</v>
      </c>
      <c r="I46" t="s">
        <v>846</v>
      </c>
      <c r="J46" t="s">
        <v>847</v>
      </c>
      <c r="K46" t="s">
        <v>2108</v>
      </c>
      <c r="L46" t="s">
        <v>63</v>
      </c>
      <c r="M46" s="1">
        <v>37008</v>
      </c>
      <c r="N46">
        <v>2001</v>
      </c>
    </row>
    <row r="47" spans="1:14">
      <c r="A47" t="s">
        <v>14</v>
      </c>
      <c r="B47" t="str">
        <f>"110107200401"</f>
        <v>110107200401</v>
      </c>
      <c r="C47" t="s">
        <v>1733</v>
      </c>
      <c r="D47" t="s">
        <v>221</v>
      </c>
      <c r="G47" t="s">
        <v>17</v>
      </c>
      <c r="H47" t="s">
        <v>39</v>
      </c>
      <c r="I47" t="s">
        <v>846</v>
      </c>
      <c r="J47" t="s">
        <v>847</v>
      </c>
      <c r="K47" t="s">
        <v>1734</v>
      </c>
      <c r="L47" t="s">
        <v>22</v>
      </c>
      <c r="M47" s="1">
        <v>38169</v>
      </c>
      <c r="N47">
        <v>2004</v>
      </c>
    </row>
    <row r="48" spans="1:14">
      <c r="A48" t="s">
        <v>14</v>
      </c>
      <c r="B48" t="str">
        <f>"111305200401"</f>
        <v>111305200401</v>
      </c>
      <c r="C48" t="s">
        <v>2921</v>
      </c>
      <c r="D48" t="s">
        <v>89</v>
      </c>
      <c r="G48" t="s">
        <v>17</v>
      </c>
      <c r="H48" t="s">
        <v>39</v>
      </c>
      <c r="I48" t="s">
        <v>846</v>
      </c>
      <c r="J48" t="s">
        <v>847</v>
      </c>
      <c r="K48" t="s">
        <v>1734</v>
      </c>
      <c r="L48" t="s">
        <v>22</v>
      </c>
      <c r="M48" s="1">
        <v>38120</v>
      </c>
      <c r="N48">
        <v>2004</v>
      </c>
    </row>
    <row r="49" spans="1:14">
      <c r="A49" t="s">
        <v>14</v>
      </c>
      <c r="B49" t="str">
        <f>"110703200303"</f>
        <v>110703200303</v>
      </c>
      <c r="C49" t="s">
        <v>2181</v>
      </c>
      <c r="D49" t="s">
        <v>181</v>
      </c>
      <c r="G49" t="s">
        <v>17</v>
      </c>
      <c r="H49" t="s">
        <v>51</v>
      </c>
      <c r="I49" t="s">
        <v>846</v>
      </c>
      <c r="J49" t="s">
        <v>847</v>
      </c>
      <c r="K49" t="s">
        <v>1734</v>
      </c>
      <c r="L49" t="s">
        <v>22</v>
      </c>
      <c r="M49" s="1">
        <v>37687</v>
      </c>
      <c r="N49">
        <v>2003</v>
      </c>
    </row>
    <row r="50" spans="1:14">
      <c r="A50" t="s">
        <v>14</v>
      </c>
      <c r="B50" t="str">
        <f>"122511200400"</f>
        <v>122511200400</v>
      </c>
      <c r="C50" t="s">
        <v>168</v>
      </c>
      <c r="D50" t="s">
        <v>169</v>
      </c>
      <c r="G50" t="s">
        <v>32</v>
      </c>
      <c r="H50" t="s">
        <v>33</v>
      </c>
      <c r="I50" t="s">
        <v>170</v>
      </c>
      <c r="J50" t="s">
        <v>171</v>
      </c>
      <c r="K50" t="s">
        <v>172</v>
      </c>
      <c r="L50" t="s">
        <v>22</v>
      </c>
      <c r="M50" s="1">
        <v>38316</v>
      </c>
      <c r="N50">
        <v>2004</v>
      </c>
    </row>
    <row r="51" spans="1:14">
      <c r="A51" t="s">
        <v>14</v>
      </c>
      <c r="B51" t="str">
        <f>"120407200401"</f>
        <v>120407200401</v>
      </c>
      <c r="C51" t="s">
        <v>2683</v>
      </c>
      <c r="D51" t="s">
        <v>127</v>
      </c>
      <c r="G51" t="s">
        <v>32</v>
      </c>
      <c r="H51" t="s">
        <v>33</v>
      </c>
      <c r="I51" t="s">
        <v>170</v>
      </c>
      <c r="J51" t="s">
        <v>171</v>
      </c>
      <c r="K51" t="s">
        <v>172</v>
      </c>
      <c r="L51" t="s">
        <v>22</v>
      </c>
      <c r="M51" s="1">
        <v>38172</v>
      </c>
      <c r="N51">
        <v>2004</v>
      </c>
    </row>
    <row r="52" spans="1:14">
      <c r="A52" t="s">
        <v>14</v>
      </c>
      <c r="B52" t="str">
        <f>"120711200201"</f>
        <v>120711200201</v>
      </c>
      <c r="C52" t="s">
        <v>2667</v>
      </c>
      <c r="D52" t="s">
        <v>127</v>
      </c>
      <c r="G52" t="s">
        <v>32</v>
      </c>
      <c r="H52" t="s">
        <v>65</v>
      </c>
      <c r="I52" t="s">
        <v>170</v>
      </c>
      <c r="J52" t="s">
        <v>171</v>
      </c>
      <c r="K52" t="s">
        <v>1207</v>
      </c>
      <c r="L52" t="s">
        <v>22</v>
      </c>
      <c r="M52" s="1">
        <v>37567</v>
      </c>
      <c r="N52">
        <v>2002</v>
      </c>
    </row>
    <row r="53" spans="1:14">
      <c r="A53" t="s">
        <v>14</v>
      </c>
      <c r="B53" t="str">
        <f>"111905199900"</f>
        <v>111905199900</v>
      </c>
      <c r="C53" t="s">
        <v>2109</v>
      </c>
      <c r="D53" t="s">
        <v>50</v>
      </c>
      <c r="G53" t="s">
        <v>17</v>
      </c>
      <c r="H53" t="s">
        <v>18</v>
      </c>
      <c r="I53" t="s">
        <v>170</v>
      </c>
      <c r="J53" t="s">
        <v>171</v>
      </c>
      <c r="K53" t="s">
        <v>1207</v>
      </c>
      <c r="L53" t="s">
        <v>22</v>
      </c>
      <c r="M53" s="1">
        <v>36299</v>
      </c>
      <c r="N53">
        <v>1999</v>
      </c>
    </row>
    <row r="54" spans="1:14">
      <c r="A54" t="s">
        <v>14</v>
      </c>
      <c r="B54" t="str">
        <f>"111903200400"</f>
        <v>111903200400</v>
      </c>
      <c r="C54" t="s">
        <v>459</v>
      </c>
      <c r="D54" t="s">
        <v>89</v>
      </c>
      <c r="G54" t="s">
        <v>17</v>
      </c>
      <c r="H54" t="s">
        <v>39</v>
      </c>
      <c r="I54" t="s">
        <v>170</v>
      </c>
      <c r="J54" t="s">
        <v>171</v>
      </c>
      <c r="K54" t="s">
        <v>172</v>
      </c>
      <c r="L54" t="s">
        <v>22</v>
      </c>
      <c r="M54" s="1">
        <v>38065</v>
      </c>
      <c r="N54">
        <v>2004</v>
      </c>
    </row>
    <row r="55" spans="1:14">
      <c r="A55" t="s">
        <v>14</v>
      </c>
      <c r="B55" t="str">
        <f>"110702200400"</f>
        <v>110702200400</v>
      </c>
      <c r="C55" t="s">
        <v>1413</v>
      </c>
      <c r="D55" t="s">
        <v>129</v>
      </c>
      <c r="G55" t="s">
        <v>17</v>
      </c>
      <c r="H55" t="s">
        <v>39</v>
      </c>
      <c r="I55" t="s">
        <v>170</v>
      </c>
      <c r="J55" t="s">
        <v>171</v>
      </c>
      <c r="K55" t="s">
        <v>172</v>
      </c>
      <c r="L55" t="s">
        <v>22</v>
      </c>
      <c r="M55" s="1">
        <v>38024</v>
      </c>
      <c r="N55">
        <v>2004</v>
      </c>
    </row>
    <row r="56" spans="1:14">
      <c r="A56" t="s">
        <v>14</v>
      </c>
      <c r="B56" t="str">
        <f>"113010200201"</f>
        <v>113010200201</v>
      </c>
      <c r="C56" t="s">
        <v>1202</v>
      </c>
      <c r="D56" t="s">
        <v>531</v>
      </c>
      <c r="G56" t="s">
        <v>17</v>
      </c>
      <c r="H56" t="s">
        <v>51</v>
      </c>
      <c r="I56" t="s">
        <v>170</v>
      </c>
      <c r="J56" t="s">
        <v>171</v>
      </c>
      <c r="K56" t="s">
        <v>1207</v>
      </c>
      <c r="L56" t="s">
        <v>22</v>
      </c>
      <c r="M56" s="1">
        <v>37559</v>
      </c>
      <c r="N56">
        <v>2002</v>
      </c>
    </row>
    <row r="57" spans="1:14">
      <c r="A57" t="s">
        <v>14</v>
      </c>
      <c r="B57" t="str">
        <f>"110705200302"</f>
        <v>110705200302</v>
      </c>
      <c r="C57" t="s">
        <v>2226</v>
      </c>
      <c r="D57" t="s">
        <v>155</v>
      </c>
      <c r="G57" t="s">
        <v>17</v>
      </c>
      <c r="H57" t="s">
        <v>51</v>
      </c>
      <c r="I57" t="s">
        <v>170</v>
      </c>
      <c r="J57" t="s">
        <v>171</v>
      </c>
      <c r="K57" t="s">
        <v>172</v>
      </c>
      <c r="M57" s="1">
        <v>37748</v>
      </c>
      <c r="N57">
        <v>2003</v>
      </c>
    </row>
    <row r="58" spans="1:14">
      <c r="A58" t="s">
        <v>14</v>
      </c>
      <c r="B58" t="str">
        <f>"112703200302"</f>
        <v>112703200302</v>
      </c>
      <c r="C58" t="s">
        <v>2351</v>
      </c>
      <c r="D58" t="s">
        <v>115</v>
      </c>
      <c r="G58" t="s">
        <v>17</v>
      </c>
      <c r="H58" t="s">
        <v>51</v>
      </c>
      <c r="I58" t="s">
        <v>170</v>
      </c>
      <c r="J58" t="s">
        <v>171</v>
      </c>
      <c r="K58" t="s">
        <v>172</v>
      </c>
      <c r="L58" t="s">
        <v>22</v>
      </c>
      <c r="M58" s="1">
        <v>37707</v>
      </c>
      <c r="N58">
        <v>2003</v>
      </c>
    </row>
    <row r="59" spans="1:14">
      <c r="A59" t="s">
        <v>14</v>
      </c>
      <c r="B59" t="str">
        <f>"121203200400"</f>
        <v>121203200400</v>
      </c>
      <c r="C59" t="s">
        <v>1641</v>
      </c>
      <c r="D59" t="s">
        <v>184</v>
      </c>
      <c r="G59" t="s">
        <v>32</v>
      </c>
      <c r="H59" t="s">
        <v>33</v>
      </c>
      <c r="I59" t="s">
        <v>85</v>
      </c>
      <c r="J59" t="s">
        <v>86</v>
      </c>
      <c r="K59" t="s">
        <v>1612</v>
      </c>
      <c r="L59" t="s">
        <v>22</v>
      </c>
      <c r="M59" s="1">
        <v>38058</v>
      </c>
      <c r="N59">
        <v>2004</v>
      </c>
    </row>
    <row r="60" spans="1:14">
      <c r="A60" t="s">
        <v>14</v>
      </c>
      <c r="B60" t="str">
        <f>"121705200400"</f>
        <v>121705200400</v>
      </c>
      <c r="C60" t="s">
        <v>2591</v>
      </c>
      <c r="D60" t="s">
        <v>233</v>
      </c>
      <c r="G60" t="s">
        <v>32</v>
      </c>
      <c r="H60" t="s">
        <v>33</v>
      </c>
      <c r="I60" t="s">
        <v>85</v>
      </c>
      <c r="J60" t="s">
        <v>86</v>
      </c>
      <c r="K60" t="s">
        <v>1612</v>
      </c>
      <c r="L60" t="s">
        <v>22</v>
      </c>
      <c r="M60" s="1">
        <v>38124</v>
      </c>
      <c r="N60">
        <v>2004</v>
      </c>
    </row>
    <row r="61" spans="1:14">
      <c r="A61" t="s">
        <v>14</v>
      </c>
      <c r="B61" t="str">
        <f>"120211200201"</f>
        <v>120211200201</v>
      </c>
      <c r="C61" t="s">
        <v>284</v>
      </c>
      <c r="D61" t="s">
        <v>64</v>
      </c>
      <c r="G61" t="s">
        <v>32</v>
      </c>
      <c r="H61" t="s">
        <v>65</v>
      </c>
      <c r="I61" t="s">
        <v>85</v>
      </c>
      <c r="J61" t="s">
        <v>86</v>
      </c>
      <c r="K61" t="s">
        <v>285</v>
      </c>
      <c r="L61" t="s">
        <v>22</v>
      </c>
      <c r="M61" s="1">
        <v>37562</v>
      </c>
      <c r="N61">
        <v>2002</v>
      </c>
    </row>
    <row r="62" spans="1:14">
      <c r="A62" t="s">
        <v>14</v>
      </c>
      <c r="B62" t="str">
        <f>"120702200200"</f>
        <v>120702200200</v>
      </c>
      <c r="C62" t="s">
        <v>852</v>
      </c>
      <c r="D62" t="s">
        <v>238</v>
      </c>
      <c r="G62" t="s">
        <v>32</v>
      </c>
      <c r="H62" t="s">
        <v>65</v>
      </c>
      <c r="I62" t="s">
        <v>85</v>
      </c>
      <c r="J62" t="s">
        <v>86</v>
      </c>
      <c r="K62" t="s">
        <v>87</v>
      </c>
      <c r="M62" s="1">
        <v>37294</v>
      </c>
      <c r="N62">
        <v>2002</v>
      </c>
    </row>
    <row r="63" spans="1:14">
      <c r="A63" t="s">
        <v>14</v>
      </c>
      <c r="B63" t="str">
        <f>"122707200300"</f>
        <v>122707200300</v>
      </c>
      <c r="C63" t="s">
        <v>1487</v>
      </c>
      <c r="D63" t="s">
        <v>421</v>
      </c>
      <c r="G63" t="s">
        <v>32</v>
      </c>
      <c r="H63" t="s">
        <v>65</v>
      </c>
      <c r="I63" t="s">
        <v>85</v>
      </c>
      <c r="J63" t="s">
        <v>86</v>
      </c>
      <c r="K63" t="s">
        <v>1488</v>
      </c>
      <c r="M63" s="1">
        <v>37829</v>
      </c>
      <c r="N63">
        <v>2003</v>
      </c>
    </row>
    <row r="64" spans="1:14">
      <c r="A64" t="s">
        <v>14</v>
      </c>
      <c r="B64" t="str">
        <f>"121702200300"</f>
        <v>121702200300</v>
      </c>
      <c r="C64" t="s">
        <v>2118</v>
      </c>
      <c r="D64" t="s">
        <v>31</v>
      </c>
      <c r="G64" t="s">
        <v>32</v>
      </c>
      <c r="H64" t="s">
        <v>65</v>
      </c>
      <c r="I64" t="s">
        <v>85</v>
      </c>
      <c r="J64" t="s">
        <v>86</v>
      </c>
      <c r="K64" t="s">
        <v>285</v>
      </c>
      <c r="L64" t="s">
        <v>22</v>
      </c>
      <c r="M64" s="1">
        <v>37669</v>
      </c>
      <c r="N64">
        <v>2003</v>
      </c>
    </row>
    <row r="65" spans="1:14">
      <c r="A65" t="s">
        <v>14</v>
      </c>
      <c r="B65" t="str">
        <f>"121611200200"</f>
        <v>121611200200</v>
      </c>
      <c r="C65" t="s">
        <v>2269</v>
      </c>
      <c r="D65" t="s">
        <v>380</v>
      </c>
      <c r="G65" t="s">
        <v>32</v>
      </c>
      <c r="H65" t="s">
        <v>65</v>
      </c>
      <c r="I65" t="s">
        <v>85</v>
      </c>
      <c r="J65" t="s">
        <v>86</v>
      </c>
      <c r="K65" t="s">
        <v>285</v>
      </c>
      <c r="L65" t="s">
        <v>22</v>
      </c>
      <c r="M65" s="1">
        <v>37576</v>
      </c>
      <c r="N65">
        <v>2002</v>
      </c>
    </row>
    <row r="66" spans="1:14">
      <c r="A66" t="s">
        <v>14</v>
      </c>
      <c r="B66" t="str">
        <f>"120903200200"</f>
        <v>120903200200</v>
      </c>
      <c r="C66" t="s">
        <v>2712</v>
      </c>
      <c r="D66" t="s">
        <v>127</v>
      </c>
      <c r="G66" t="s">
        <v>32</v>
      </c>
      <c r="H66" t="s">
        <v>65</v>
      </c>
      <c r="I66" t="s">
        <v>85</v>
      </c>
      <c r="J66" t="s">
        <v>86</v>
      </c>
      <c r="K66" t="s">
        <v>285</v>
      </c>
      <c r="L66" t="s">
        <v>22</v>
      </c>
      <c r="M66" s="1">
        <v>37324</v>
      </c>
      <c r="N66">
        <v>2002</v>
      </c>
    </row>
    <row r="67" spans="1:14">
      <c r="A67" t="s">
        <v>14</v>
      </c>
      <c r="B67" t="str">
        <f>"121110200300"</f>
        <v>121110200300</v>
      </c>
      <c r="C67" t="s">
        <v>2813</v>
      </c>
      <c r="D67" t="s">
        <v>64</v>
      </c>
      <c r="G67" t="s">
        <v>32</v>
      </c>
      <c r="H67" t="s">
        <v>65</v>
      </c>
      <c r="I67" t="s">
        <v>85</v>
      </c>
      <c r="J67" t="s">
        <v>86</v>
      </c>
      <c r="K67" t="s">
        <v>2814</v>
      </c>
      <c r="L67" t="s">
        <v>22</v>
      </c>
      <c r="M67" s="1">
        <v>37905</v>
      </c>
      <c r="N67">
        <v>2003</v>
      </c>
    </row>
    <row r="68" spans="1:14">
      <c r="A68" t="s">
        <v>14</v>
      </c>
      <c r="B68" t="str">
        <f>"121907200300"</f>
        <v>121907200300</v>
      </c>
      <c r="C68" t="s">
        <v>2873</v>
      </c>
      <c r="D68" t="s">
        <v>238</v>
      </c>
      <c r="G68" t="s">
        <v>32</v>
      </c>
      <c r="H68" t="s">
        <v>65</v>
      </c>
      <c r="I68" t="s">
        <v>85</v>
      </c>
      <c r="J68" t="s">
        <v>86</v>
      </c>
      <c r="K68" t="s">
        <v>285</v>
      </c>
      <c r="L68" t="s">
        <v>63</v>
      </c>
      <c r="M68" s="1">
        <v>37821</v>
      </c>
      <c r="N68">
        <v>2003</v>
      </c>
    </row>
    <row r="69" spans="1:14">
      <c r="A69" t="s">
        <v>14</v>
      </c>
      <c r="B69" t="str">
        <f>"122610199000"</f>
        <v>122610199000</v>
      </c>
      <c r="C69" t="s">
        <v>84</v>
      </c>
      <c r="D69" t="s">
        <v>58</v>
      </c>
      <c r="G69" t="s">
        <v>32</v>
      </c>
      <c r="H69" t="s">
        <v>59</v>
      </c>
      <c r="I69" t="s">
        <v>85</v>
      </c>
      <c r="J69" t="s">
        <v>86</v>
      </c>
      <c r="K69" t="s">
        <v>87</v>
      </c>
      <c r="L69" t="s">
        <v>29</v>
      </c>
      <c r="M69" s="1">
        <v>33172</v>
      </c>
      <c r="N69">
        <v>1990</v>
      </c>
    </row>
    <row r="70" spans="1:14">
      <c r="A70" t="s">
        <v>14</v>
      </c>
      <c r="B70" t="str">
        <f>"122008200100"</f>
        <v>122008200100</v>
      </c>
      <c r="C70" t="s">
        <v>985</v>
      </c>
      <c r="D70" t="s">
        <v>64</v>
      </c>
      <c r="G70" t="s">
        <v>32</v>
      </c>
      <c r="H70" t="s">
        <v>44</v>
      </c>
      <c r="I70" t="s">
        <v>85</v>
      </c>
      <c r="J70" t="s">
        <v>86</v>
      </c>
      <c r="K70" t="s">
        <v>986</v>
      </c>
      <c r="L70" t="s">
        <v>22</v>
      </c>
      <c r="M70" s="1">
        <v>37123</v>
      </c>
      <c r="N70">
        <v>2001</v>
      </c>
    </row>
    <row r="71" spans="1:14">
      <c r="A71" t="s">
        <v>14</v>
      </c>
      <c r="B71" t="str">
        <f>"120802199901"</f>
        <v>120802199901</v>
      </c>
      <c r="C71" t="s">
        <v>1984</v>
      </c>
      <c r="D71" t="s">
        <v>353</v>
      </c>
      <c r="G71" t="s">
        <v>32</v>
      </c>
      <c r="H71" t="s">
        <v>44</v>
      </c>
      <c r="I71" t="s">
        <v>85</v>
      </c>
      <c r="J71" t="s">
        <v>86</v>
      </c>
      <c r="K71" t="s">
        <v>1488</v>
      </c>
      <c r="M71" s="1">
        <v>36199</v>
      </c>
      <c r="N71">
        <v>1999</v>
      </c>
    </row>
    <row r="72" spans="1:14">
      <c r="A72" t="s">
        <v>14</v>
      </c>
      <c r="B72" t="str">
        <f>"122207200100"</f>
        <v>122207200100</v>
      </c>
      <c r="C72" t="s">
        <v>2940</v>
      </c>
      <c r="D72" t="s">
        <v>58</v>
      </c>
      <c r="G72" t="s">
        <v>32</v>
      </c>
      <c r="H72" t="s">
        <v>44</v>
      </c>
      <c r="I72" t="s">
        <v>85</v>
      </c>
      <c r="J72" t="s">
        <v>86</v>
      </c>
      <c r="K72" t="s">
        <v>1238</v>
      </c>
      <c r="M72" s="1">
        <v>37094</v>
      </c>
      <c r="N72">
        <v>2001</v>
      </c>
    </row>
    <row r="73" spans="1:14">
      <c r="A73" t="s">
        <v>14</v>
      </c>
      <c r="B73" t="str">
        <f>"111404200101"</f>
        <v>111404200101</v>
      </c>
      <c r="C73" t="s">
        <v>1369</v>
      </c>
      <c r="D73" t="s">
        <v>268</v>
      </c>
      <c r="G73" t="s">
        <v>17</v>
      </c>
      <c r="H73" t="s">
        <v>18</v>
      </c>
      <c r="I73" t="s">
        <v>85</v>
      </c>
      <c r="J73" t="s">
        <v>86</v>
      </c>
      <c r="K73" t="s">
        <v>1370</v>
      </c>
      <c r="M73" s="1">
        <v>36995</v>
      </c>
      <c r="N73">
        <v>2001</v>
      </c>
    </row>
    <row r="74" spans="1:14">
      <c r="A74" t="s">
        <v>14</v>
      </c>
      <c r="B74" t="str">
        <f>"111304199901"</f>
        <v>111304199901</v>
      </c>
      <c r="C74" t="s">
        <v>1805</v>
      </c>
      <c r="D74" t="s">
        <v>209</v>
      </c>
      <c r="G74" t="s">
        <v>17</v>
      </c>
      <c r="H74" t="s">
        <v>18</v>
      </c>
      <c r="I74" t="s">
        <v>85</v>
      </c>
      <c r="J74" t="s">
        <v>86</v>
      </c>
      <c r="K74" t="s">
        <v>1488</v>
      </c>
      <c r="M74" s="1">
        <v>36263</v>
      </c>
      <c r="N74">
        <v>1999</v>
      </c>
    </row>
    <row r="75" spans="1:14">
      <c r="A75" t="s">
        <v>14</v>
      </c>
      <c r="B75" t="str">
        <f>"111207200000"</f>
        <v>111207200000</v>
      </c>
      <c r="C75" t="s">
        <v>2400</v>
      </c>
      <c r="D75" t="s">
        <v>89</v>
      </c>
      <c r="G75" t="s">
        <v>17</v>
      </c>
      <c r="H75" t="s">
        <v>18</v>
      </c>
      <c r="I75" t="s">
        <v>85</v>
      </c>
      <c r="J75" t="s">
        <v>86</v>
      </c>
      <c r="K75" t="s">
        <v>1238</v>
      </c>
      <c r="M75" s="1">
        <v>36719</v>
      </c>
      <c r="N75">
        <v>2000</v>
      </c>
    </row>
    <row r="76" spans="1:14">
      <c r="A76" t="s">
        <v>14</v>
      </c>
      <c r="B76" t="str">
        <f>"111203199900"</f>
        <v>111203199900</v>
      </c>
      <c r="C76" t="s">
        <v>2468</v>
      </c>
      <c r="D76" t="s">
        <v>120</v>
      </c>
      <c r="G76" t="s">
        <v>17</v>
      </c>
      <c r="H76" t="s">
        <v>18</v>
      </c>
      <c r="I76" t="s">
        <v>85</v>
      </c>
      <c r="J76" t="s">
        <v>86</v>
      </c>
      <c r="K76" t="s">
        <v>285</v>
      </c>
      <c r="M76" s="1">
        <v>36231</v>
      </c>
      <c r="N76">
        <v>1999</v>
      </c>
    </row>
    <row r="77" spans="1:14">
      <c r="A77" t="s">
        <v>14</v>
      </c>
      <c r="B77" t="str">
        <f>"111102200100"</f>
        <v>111102200100</v>
      </c>
      <c r="C77" t="s">
        <v>2829</v>
      </c>
      <c r="D77" t="s">
        <v>115</v>
      </c>
      <c r="G77" t="s">
        <v>17</v>
      </c>
      <c r="H77" t="s">
        <v>18</v>
      </c>
      <c r="I77" t="s">
        <v>85</v>
      </c>
      <c r="J77" t="s">
        <v>86</v>
      </c>
      <c r="K77" t="s">
        <v>1370</v>
      </c>
      <c r="M77" s="1">
        <v>36933</v>
      </c>
      <c r="N77">
        <v>2001</v>
      </c>
    </row>
    <row r="78" spans="1:14">
      <c r="A78" t="s">
        <v>14</v>
      </c>
      <c r="B78" t="str">
        <f>"112105200400"</f>
        <v>112105200400</v>
      </c>
      <c r="C78" t="s">
        <v>1244</v>
      </c>
      <c r="D78" t="s">
        <v>155</v>
      </c>
      <c r="G78" t="s">
        <v>17</v>
      </c>
      <c r="H78" t="s">
        <v>39</v>
      </c>
      <c r="I78" t="s">
        <v>85</v>
      </c>
      <c r="J78" t="s">
        <v>86</v>
      </c>
      <c r="K78" t="s">
        <v>1245</v>
      </c>
      <c r="L78" t="s">
        <v>22</v>
      </c>
      <c r="M78" s="1">
        <v>38128</v>
      </c>
      <c r="N78">
        <v>2004</v>
      </c>
    </row>
    <row r="79" spans="1:14">
      <c r="A79" t="s">
        <v>14</v>
      </c>
      <c r="B79" t="str">
        <f>"110612200401"</f>
        <v>110612200401</v>
      </c>
      <c r="C79" t="s">
        <v>1670</v>
      </c>
      <c r="D79" t="s">
        <v>95</v>
      </c>
      <c r="G79" t="s">
        <v>17</v>
      </c>
      <c r="H79" t="s">
        <v>39</v>
      </c>
      <c r="I79" t="s">
        <v>85</v>
      </c>
      <c r="J79" t="s">
        <v>86</v>
      </c>
      <c r="K79" t="s">
        <v>1245</v>
      </c>
      <c r="L79" t="s">
        <v>22</v>
      </c>
      <c r="M79" s="1">
        <v>38327</v>
      </c>
      <c r="N79">
        <v>2004</v>
      </c>
    </row>
    <row r="80" spans="1:14">
      <c r="A80" t="s">
        <v>14</v>
      </c>
      <c r="B80" t="str">
        <f>"113103200401"</f>
        <v>113103200401</v>
      </c>
      <c r="C80" t="s">
        <v>1675</v>
      </c>
      <c r="D80" t="s">
        <v>129</v>
      </c>
      <c r="G80" t="s">
        <v>17</v>
      </c>
      <c r="H80" t="s">
        <v>39</v>
      </c>
      <c r="I80" t="s">
        <v>85</v>
      </c>
      <c r="J80" t="s">
        <v>86</v>
      </c>
      <c r="K80" t="s">
        <v>1245</v>
      </c>
      <c r="L80" t="s">
        <v>22</v>
      </c>
      <c r="M80" s="1">
        <v>38077</v>
      </c>
      <c r="N80">
        <v>2004</v>
      </c>
    </row>
    <row r="81" spans="1:14">
      <c r="A81" t="s">
        <v>14</v>
      </c>
      <c r="B81" t="str">
        <f>"111609200400"</f>
        <v>111609200400</v>
      </c>
      <c r="C81" t="s">
        <v>1847</v>
      </c>
      <c r="D81" t="s">
        <v>113</v>
      </c>
      <c r="G81" t="s">
        <v>17</v>
      </c>
      <c r="H81" t="s">
        <v>39</v>
      </c>
      <c r="I81" t="s">
        <v>85</v>
      </c>
      <c r="J81" t="s">
        <v>86</v>
      </c>
      <c r="K81" t="s">
        <v>1488</v>
      </c>
      <c r="M81" s="1">
        <v>38246</v>
      </c>
      <c r="N81">
        <v>2004</v>
      </c>
    </row>
    <row r="82" spans="1:14">
      <c r="A82" t="s">
        <v>14</v>
      </c>
      <c r="B82" t="str">
        <f>"111802200201"</f>
        <v>111802200201</v>
      </c>
      <c r="C82" t="s">
        <v>1237</v>
      </c>
      <c r="D82" t="s">
        <v>98</v>
      </c>
      <c r="G82" t="s">
        <v>17</v>
      </c>
      <c r="H82" t="s">
        <v>51</v>
      </c>
      <c r="I82" t="s">
        <v>85</v>
      </c>
      <c r="J82" t="s">
        <v>86</v>
      </c>
      <c r="K82" t="s">
        <v>1238</v>
      </c>
      <c r="M82" s="1">
        <v>37305</v>
      </c>
      <c r="N82">
        <v>2002</v>
      </c>
    </row>
    <row r="83" spans="1:14">
      <c r="A83" t="s">
        <v>14</v>
      </c>
      <c r="B83" t="str">
        <f>"113007200300"</f>
        <v>113007200300</v>
      </c>
      <c r="C83" t="s">
        <v>1611</v>
      </c>
      <c r="D83" t="s">
        <v>120</v>
      </c>
      <c r="G83" t="s">
        <v>17</v>
      </c>
      <c r="H83" t="s">
        <v>51</v>
      </c>
      <c r="I83" t="s">
        <v>85</v>
      </c>
      <c r="J83" t="s">
        <v>86</v>
      </c>
      <c r="K83" t="s">
        <v>1612</v>
      </c>
      <c r="L83" t="s">
        <v>22</v>
      </c>
      <c r="M83" s="1">
        <v>37832</v>
      </c>
      <c r="N83">
        <v>2003</v>
      </c>
    </row>
    <row r="84" spans="1:14">
      <c r="A84" t="s">
        <v>14</v>
      </c>
      <c r="B84" t="str">
        <f>"112210200301"</f>
        <v>112210200301</v>
      </c>
      <c r="C84" t="s">
        <v>1941</v>
      </c>
      <c r="D84" t="s">
        <v>24</v>
      </c>
      <c r="G84" t="s">
        <v>17</v>
      </c>
      <c r="H84" t="s">
        <v>51</v>
      </c>
      <c r="I84" t="s">
        <v>85</v>
      </c>
      <c r="J84" t="s">
        <v>86</v>
      </c>
      <c r="K84" t="s">
        <v>285</v>
      </c>
      <c r="L84" t="s">
        <v>22</v>
      </c>
      <c r="M84" s="1">
        <v>37916</v>
      </c>
      <c r="N84">
        <v>2003</v>
      </c>
    </row>
    <row r="85" spans="1:14">
      <c r="A85" t="s">
        <v>14</v>
      </c>
      <c r="B85" t="str">
        <f>"112608200200"</f>
        <v>112608200200</v>
      </c>
      <c r="C85" t="s">
        <v>2038</v>
      </c>
      <c r="D85" t="s">
        <v>558</v>
      </c>
      <c r="G85" t="s">
        <v>17</v>
      </c>
      <c r="H85" t="s">
        <v>51</v>
      </c>
      <c r="I85" t="s">
        <v>85</v>
      </c>
      <c r="J85" t="s">
        <v>86</v>
      </c>
      <c r="K85" t="s">
        <v>87</v>
      </c>
      <c r="L85" t="s">
        <v>22</v>
      </c>
      <c r="M85" s="1">
        <v>37494</v>
      </c>
      <c r="N85">
        <v>2002</v>
      </c>
    </row>
    <row r="86" spans="1:14">
      <c r="A86" t="s">
        <v>14</v>
      </c>
      <c r="B86" t="str">
        <f>"111101200303"</f>
        <v>111101200303</v>
      </c>
      <c r="C86" t="s">
        <v>2181</v>
      </c>
      <c r="D86" t="s">
        <v>155</v>
      </c>
      <c r="G86" t="s">
        <v>17</v>
      </c>
      <c r="H86" t="s">
        <v>51</v>
      </c>
      <c r="I86" t="s">
        <v>85</v>
      </c>
      <c r="J86" t="s">
        <v>86</v>
      </c>
      <c r="K86" t="s">
        <v>87</v>
      </c>
      <c r="L86" t="s">
        <v>22</v>
      </c>
      <c r="M86" s="1">
        <v>37632</v>
      </c>
      <c r="N86">
        <v>2003</v>
      </c>
    </row>
    <row r="87" spans="1:14">
      <c r="A87" t="s">
        <v>14</v>
      </c>
      <c r="B87" t="str">
        <f>"111408200301"</f>
        <v>111408200301</v>
      </c>
      <c r="C87" t="s">
        <v>2338</v>
      </c>
      <c r="D87" t="s">
        <v>95</v>
      </c>
      <c r="G87" t="s">
        <v>17</v>
      </c>
      <c r="H87" t="s">
        <v>51</v>
      </c>
      <c r="I87" t="s">
        <v>85</v>
      </c>
      <c r="J87" t="s">
        <v>86</v>
      </c>
      <c r="K87" t="s">
        <v>285</v>
      </c>
      <c r="L87" t="s">
        <v>22</v>
      </c>
      <c r="M87" s="1">
        <v>37847</v>
      </c>
      <c r="N87">
        <v>2003</v>
      </c>
    </row>
    <row r="88" spans="1:14">
      <c r="A88" t="s">
        <v>14</v>
      </c>
      <c r="B88" t="str">
        <f>"111707200202"</f>
        <v>111707200202</v>
      </c>
      <c r="C88" t="s">
        <v>2882</v>
      </c>
      <c r="D88" t="s">
        <v>590</v>
      </c>
      <c r="G88" t="s">
        <v>17</v>
      </c>
      <c r="H88" t="s">
        <v>51</v>
      </c>
      <c r="I88" t="s">
        <v>85</v>
      </c>
      <c r="J88" t="s">
        <v>86</v>
      </c>
      <c r="K88" t="s">
        <v>1238</v>
      </c>
      <c r="L88" t="s">
        <v>22</v>
      </c>
      <c r="M88" s="1">
        <v>37454</v>
      </c>
      <c r="N88">
        <v>2002</v>
      </c>
    </row>
    <row r="89" spans="1:14">
      <c r="A89" t="s">
        <v>14</v>
      </c>
      <c r="B89" t="str">
        <f>"121107199900"</f>
        <v>121107199900</v>
      </c>
      <c r="C89" t="s">
        <v>2273</v>
      </c>
      <c r="D89" t="s">
        <v>232</v>
      </c>
      <c r="G89" t="s">
        <v>32</v>
      </c>
      <c r="H89" t="s">
        <v>44</v>
      </c>
      <c r="I89" t="s">
        <v>2274</v>
      </c>
      <c r="J89" t="s">
        <v>2275</v>
      </c>
      <c r="K89" t="s">
        <v>2276</v>
      </c>
      <c r="L89" t="s">
        <v>22</v>
      </c>
      <c r="M89" s="1">
        <v>36352</v>
      </c>
      <c r="N89">
        <v>1999</v>
      </c>
    </row>
    <row r="90" spans="1:14">
      <c r="A90" t="s">
        <v>14</v>
      </c>
      <c r="B90" t="str">
        <f>"120609200400"</f>
        <v>120609200400</v>
      </c>
      <c r="C90" t="s">
        <v>498</v>
      </c>
      <c r="D90" t="s">
        <v>380</v>
      </c>
      <c r="G90" t="s">
        <v>32</v>
      </c>
      <c r="H90" t="s">
        <v>33</v>
      </c>
      <c r="I90" t="s">
        <v>156</v>
      </c>
      <c r="J90" t="s">
        <v>157</v>
      </c>
      <c r="K90" t="s">
        <v>158</v>
      </c>
      <c r="L90" t="s">
        <v>22</v>
      </c>
      <c r="M90" s="1">
        <v>38236</v>
      </c>
      <c r="N90">
        <v>2004</v>
      </c>
    </row>
    <row r="91" spans="1:14">
      <c r="A91" t="s">
        <v>14</v>
      </c>
      <c r="B91" t="str">
        <f>"120705200500"</f>
        <v>120705200500</v>
      </c>
      <c r="C91" t="s">
        <v>729</v>
      </c>
      <c r="D91" t="s">
        <v>510</v>
      </c>
      <c r="G91" t="s">
        <v>32</v>
      </c>
      <c r="H91" t="s">
        <v>33</v>
      </c>
      <c r="I91" t="s">
        <v>156</v>
      </c>
      <c r="J91" t="s">
        <v>157</v>
      </c>
      <c r="K91" t="s">
        <v>158</v>
      </c>
      <c r="M91" s="1">
        <v>38479</v>
      </c>
      <c r="N91">
        <v>2005</v>
      </c>
    </row>
    <row r="92" spans="1:14">
      <c r="A92" t="s">
        <v>14</v>
      </c>
      <c r="B92" t="str">
        <f>"121309200500"</f>
        <v>121309200500</v>
      </c>
      <c r="C92" t="s">
        <v>1588</v>
      </c>
      <c r="D92" t="s">
        <v>310</v>
      </c>
      <c r="G92" t="s">
        <v>32</v>
      </c>
      <c r="H92" t="s">
        <v>33</v>
      </c>
      <c r="I92" t="s">
        <v>156</v>
      </c>
      <c r="J92" t="s">
        <v>157</v>
      </c>
      <c r="K92" t="s">
        <v>158</v>
      </c>
      <c r="M92" s="1">
        <v>38608</v>
      </c>
      <c r="N92">
        <v>2005</v>
      </c>
    </row>
    <row r="93" spans="1:14">
      <c r="A93" t="s">
        <v>14</v>
      </c>
      <c r="B93" t="str">
        <f>"122903200400"</f>
        <v>122903200400</v>
      </c>
      <c r="C93" t="s">
        <v>1684</v>
      </c>
      <c r="D93" t="s">
        <v>31</v>
      </c>
      <c r="G93" t="s">
        <v>32</v>
      </c>
      <c r="H93" t="s">
        <v>33</v>
      </c>
      <c r="I93" t="s">
        <v>156</v>
      </c>
      <c r="J93" t="s">
        <v>157</v>
      </c>
      <c r="K93" t="s">
        <v>158</v>
      </c>
      <c r="M93" s="1">
        <v>38075</v>
      </c>
      <c r="N93">
        <v>2004</v>
      </c>
    </row>
    <row r="94" spans="1:14">
      <c r="A94" t="s">
        <v>14</v>
      </c>
      <c r="B94" t="str">
        <f>"121904200400"</f>
        <v>121904200400</v>
      </c>
      <c r="C94" t="s">
        <v>1759</v>
      </c>
      <c r="D94" t="s">
        <v>203</v>
      </c>
      <c r="G94" t="s">
        <v>32</v>
      </c>
      <c r="H94" t="s">
        <v>33</v>
      </c>
      <c r="I94" t="s">
        <v>156</v>
      </c>
      <c r="J94" t="s">
        <v>157</v>
      </c>
      <c r="K94" t="s">
        <v>158</v>
      </c>
      <c r="L94" t="s">
        <v>22</v>
      </c>
      <c r="M94" s="1">
        <v>38096</v>
      </c>
      <c r="N94">
        <v>2004</v>
      </c>
    </row>
    <row r="95" spans="1:14">
      <c r="A95" t="s">
        <v>14</v>
      </c>
      <c r="B95" t="str">
        <f>"120105200400"</f>
        <v>120105200400</v>
      </c>
      <c r="C95" t="s">
        <v>1920</v>
      </c>
      <c r="D95" t="s">
        <v>232</v>
      </c>
      <c r="G95" t="s">
        <v>32</v>
      </c>
      <c r="H95" t="s">
        <v>33</v>
      </c>
      <c r="I95" t="s">
        <v>156</v>
      </c>
      <c r="J95" t="s">
        <v>157</v>
      </c>
      <c r="K95" t="s">
        <v>158</v>
      </c>
      <c r="L95" t="s">
        <v>22</v>
      </c>
      <c r="M95" s="1">
        <v>38108</v>
      </c>
      <c r="N95">
        <v>2004</v>
      </c>
    </row>
    <row r="96" spans="1:14">
      <c r="A96" t="s">
        <v>14</v>
      </c>
      <c r="B96" t="str">
        <f>"120209200400"</f>
        <v>120209200400</v>
      </c>
      <c r="C96" t="s">
        <v>2362</v>
      </c>
      <c r="D96" t="s">
        <v>64</v>
      </c>
      <c r="G96" t="s">
        <v>32</v>
      </c>
      <c r="H96" t="s">
        <v>33</v>
      </c>
      <c r="I96" t="s">
        <v>156</v>
      </c>
      <c r="J96" t="s">
        <v>157</v>
      </c>
      <c r="K96" t="s">
        <v>158</v>
      </c>
      <c r="M96" s="1">
        <v>38232</v>
      </c>
      <c r="N96">
        <v>2004</v>
      </c>
    </row>
    <row r="97" spans="1:14">
      <c r="A97" t="s">
        <v>14</v>
      </c>
      <c r="B97" t="str">
        <f>"120905200201"</f>
        <v>120905200201</v>
      </c>
      <c r="C97" t="s">
        <v>354</v>
      </c>
      <c r="D97" t="s">
        <v>355</v>
      </c>
      <c r="G97" t="s">
        <v>32</v>
      </c>
      <c r="H97" t="s">
        <v>65</v>
      </c>
      <c r="I97" t="s">
        <v>156</v>
      </c>
      <c r="J97" t="s">
        <v>157</v>
      </c>
      <c r="K97" t="s">
        <v>158</v>
      </c>
      <c r="L97" t="s">
        <v>63</v>
      </c>
      <c r="M97" s="1">
        <v>37385</v>
      </c>
      <c r="N97">
        <v>2002</v>
      </c>
    </row>
    <row r="98" spans="1:14">
      <c r="A98" t="s">
        <v>14</v>
      </c>
      <c r="B98" t="str">
        <f>"120212200200"</f>
        <v>120212200200</v>
      </c>
      <c r="C98" t="s">
        <v>509</v>
      </c>
      <c r="D98" t="s">
        <v>510</v>
      </c>
      <c r="G98" t="s">
        <v>32</v>
      </c>
      <c r="H98" t="s">
        <v>65</v>
      </c>
      <c r="I98" t="s">
        <v>156</v>
      </c>
      <c r="J98" t="s">
        <v>157</v>
      </c>
      <c r="K98" t="s">
        <v>337</v>
      </c>
      <c r="L98" t="s">
        <v>22</v>
      </c>
      <c r="M98" s="1">
        <v>37592</v>
      </c>
      <c r="N98">
        <v>2002</v>
      </c>
    </row>
    <row r="99" spans="1:14">
      <c r="A99" t="s">
        <v>14</v>
      </c>
      <c r="B99" t="str">
        <f>"120405200200"</f>
        <v>120405200200</v>
      </c>
      <c r="C99" t="s">
        <v>2125</v>
      </c>
      <c r="D99" t="s">
        <v>235</v>
      </c>
      <c r="G99" t="s">
        <v>32</v>
      </c>
      <c r="H99" t="s">
        <v>65</v>
      </c>
      <c r="I99" t="s">
        <v>156</v>
      </c>
      <c r="J99" t="s">
        <v>157</v>
      </c>
      <c r="K99" t="s">
        <v>337</v>
      </c>
      <c r="L99" t="s">
        <v>22</v>
      </c>
      <c r="M99" s="1">
        <v>37380</v>
      </c>
      <c r="N99">
        <v>2002</v>
      </c>
    </row>
    <row r="100" spans="1:14">
      <c r="A100" t="s">
        <v>14</v>
      </c>
      <c r="B100" t="str">
        <f>"120607200200"</f>
        <v>120607200200</v>
      </c>
      <c r="C100" t="s">
        <v>2469</v>
      </c>
      <c r="D100" t="s">
        <v>611</v>
      </c>
      <c r="G100" t="s">
        <v>32</v>
      </c>
      <c r="H100" t="s">
        <v>65</v>
      </c>
      <c r="I100" t="s">
        <v>156</v>
      </c>
      <c r="J100" t="s">
        <v>157</v>
      </c>
      <c r="K100" t="s">
        <v>337</v>
      </c>
      <c r="L100" t="s">
        <v>22</v>
      </c>
      <c r="M100" s="1">
        <v>37443</v>
      </c>
      <c r="N100">
        <v>2002</v>
      </c>
    </row>
    <row r="101" spans="1:14">
      <c r="A101" t="s">
        <v>14</v>
      </c>
      <c r="B101" t="str">
        <f>"123005200200"</f>
        <v>123005200200</v>
      </c>
      <c r="C101" t="s">
        <v>2749</v>
      </c>
      <c r="D101" t="s">
        <v>143</v>
      </c>
      <c r="G101" t="s">
        <v>32</v>
      </c>
      <c r="H101" t="s">
        <v>65</v>
      </c>
      <c r="I101" t="s">
        <v>156</v>
      </c>
      <c r="J101" t="s">
        <v>157</v>
      </c>
      <c r="K101" t="s">
        <v>337</v>
      </c>
      <c r="M101" s="1">
        <v>37406</v>
      </c>
      <c r="N101">
        <v>2002</v>
      </c>
    </row>
    <row r="102" spans="1:14">
      <c r="A102" t="s">
        <v>14</v>
      </c>
      <c r="B102" t="str">
        <f>"121711200300"</f>
        <v>121711200300</v>
      </c>
      <c r="C102" t="s">
        <v>2815</v>
      </c>
      <c r="D102" t="s">
        <v>178</v>
      </c>
      <c r="G102" t="s">
        <v>32</v>
      </c>
      <c r="H102" t="s">
        <v>65</v>
      </c>
      <c r="I102" t="s">
        <v>156</v>
      </c>
      <c r="J102" t="s">
        <v>157</v>
      </c>
      <c r="K102" t="s">
        <v>337</v>
      </c>
      <c r="L102" t="s">
        <v>22</v>
      </c>
      <c r="M102" s="1">
        <v>37942</v>
      </c>
      <c r="N102">
        <v>2003</v>
      </c>
    </row>
    <row r="103" spans="1:14">
      <c r="A103" t="s">
        <v>14</v>
      </c>
      <c r="B103" t="str">
        <f>"122403200300"</f>
        <v>122403200300</v>
      </c>
      <c r="C103" t="s">
        <v>2926</v>
      </c>
      <c r="D103" t="s">
        <v>139</v>
      </c>
      <c r="G103" t="s">
        <v>32</v>
      </c>
      <c r="H103" t="s">
        <v>65</v>
      </c>
      <c r="I103" t="s">
        <v>156</v>
      </c>
      <c r="J103" t="s">
        <v>157</v>
      </c>
      <c r="K103" t="s">
        <v>337</v>
      </c>
      <c r="M103" s="1">
        <v>37704</v>
      </c>
      <c r="N103">
        <v>2003</v>
      </c>
    </row>
    <row r="104" spans="1:14">
      <c r="A104" t="s">
        <v>14</v>
      </c>
      <c r="B104" t="str">
        <f>"122304199800"</f>
        <v>122304199800</v>
      </c>
      <c r="C104" t="s">
        <v>1906</v>
      </c>
      <c r="D104" t="s">
        <v>127</v>
      </c>
      <c r="G104" t="s">
        <v>32</v>
      </c>
      <c r="H104" t="s">
        <v>59</v>
      </c>
      <c r="I104" t="s">
        <v>156</v>
      </c>
      <c r="J104" t="s">
        <v>157</v>
      </c>
      <c r="K104" t="s">
        <v>337</v>
      </c>
      <c r="L104" t="s">
        <v>22</v>
      </c>
      <c r="M104" s="1">
        <v>35908</v>
      </c>
      <c r="N104">
        <v>1998</v>
      </c>
    </row>
    <row r="105" spans="1:14">
      <c r="A105" t="s">
        <v>14</v>
      </c>
      <c r="B105" t="str">
        <f>"123010200000"</f>
        <v>123010200000</v>
      </c>
      <c r="C105" t="s">
        <v>665</v>
      </c>
      <c r="D105" t="s">
        <v>233</v>
      </c>
      <c r="G105" t="s">
        <v>32</v>
      </c>
      <c r="H105" t="s">
        <v>44</v>
      </c>
      <c r="I105" t="s">
        <v>156</v>
      </c>
      <c r="J105" t="s">
        <v>157</v>
      </c>
      <c r="K105" t="s">
        <v>158</v>
      </c>
      <c r="L105" t="s">
        <v>63</v>
      </c>
      <c r="M105" s="1">
        <v>36829</v>
      </c>
      <c r="N105">
        <v>2000</v>
      </c>
    </row>
    <row r="106" spans="1:14">
      <c r="A106" t="s">
        <v>14</v>
      </c>
      <c r="B106" t="str">
        <f>"121507200101"</f>
        <v>121507200101</v>
      </c>
      <c r="C106" t="s">
        <v>2116</v>
      </c>
      <c r="D106" t="s">
        <v>1708</v>
      </c>
      <c r="G106" t="s">
        <v>32</v>
      </c>
      <c r="H106" t="s">
        <v>44</v>
      </c>
      <c r="I106" t="s">
        <v>156</v>
      </c>
      <c r="J106" t="s">
        <v>157</v>
      </c>
      <c r="K106" t="s">
        <v>337</v>
      </c>
      <c r="L106" t="s">
        <v>22</v>
      </c>
      <c r="M106" s="1">
        <v>37087</v>
      </c>
      <c r="N106">
        <v>2001</v>
      </c>
    </row>
    <row r="107" spans="1:14">
      <c r="A107" t="s">
        <v>14</v>
      </c>
      <c r="B107" t="str">
        <f>"111307199801"</f>
        <v>111307199801</v>
      </c>
      <c r="C107" t="s">
        <v>282</v>
      </c>
      <c r="D107" t="s">
        <v>283</v>
      </c>
      <c r="G107" t="s">
        <v>17</v>
      </c>
      <c r="H107" t="s">
        <v>25</v>
      </c>
      <c r="I107" t="s">
        <v>156</v>
      </c>
      <c r="J107" t="s">
        <v>157</v>
      </c>
      <c r="K107" t="s">
        <v>158</v>
      </c>
      <c r="L107" t="s">
        <v>22</v>
      </c>
      <c r="M107" s="1">
        <v>35989</v>
      </c>
      <c r="N107">
        <v>1998</v>
      </c>
    </row>
    <row r="108" spans="1:14">
      <c r="A108" t="s">
        <v>14</v>
      </c>
      <c r="B108" t="str">
        <f>"110607199600"</f>
        <v>110607199600</v>
      </c>
      <c r="C108" t="s">
        <v>662</v>
      </c>
      <c r="D108" t="s">
        <v>373</v>
      </c>
      <c r="G108" t="s">
        <v>17</v>
      </c>
      <c r="H108" t="s">
        <v>25</v>
      </c>
      <c r="I108" t="s">
        <v>156</v>
      </c>
      <c r="J108" t="s">
        <v>157</v>
      </c>
      <c r="K108" t="s">
        <v>158</v>
      </c>
      <c r="M108" s="1">
        <v>35252</v>
      </c>
      <c r="N108">
        <v>1996</v>
      </c>
    </row>
    <row r="109" spans="1:14">
      <c r="A109" t="s">
        <v>14</v>
      </c>
      <c r="B109" t="str">
        <f>"112408199801"</f>
        <v>112408199801</v>
      </c>
      <c r="C109" t="s">
        <v>1032</v>
      </c>
      <c r="D109" t="s">
        <v>16</v>
      </c>
      <c r="G109" t="s">
        <v>17</v>
      </c>
      <c r="H109" t="s">
        <v>25</v>
      </c>
      <c r="I109" t="s">
        <v>156</v>
      </c>
      <c r="J109" t="s">
        <v>157</v>
      </c>
      <c r="K109" t="s">
        <v>337</v>
      </c>
      <c r="L109" t="s">
        <v>22</v>
      </c>
      <c r="M109" s="1">
        <v>36031</v>
      </c>
      <c r="N109">
        <v>1998</v>
      </c>
    </row>
    <row r="110" spans="1:14">
      <c r="A110" t="s">
        <v>14</v>
      </c>
      <c r="B110" t="str">
        <f>"110406199400"</f>
        <v>110406199400</v>
      </c>
      <c r="C110" t="s">
        <v>2035</v>
      </c>
      <c r="D110" t="s">
        <v>50</v>
      </c>
      <c r="G110" t="s">
        <v>17</v>
      </c>
      <c r="H110" t="s">
        <v>25</v>
      </c>
      <c r="I110" t="s">
        <v>156</v>
      </c>
      <c r="J110" t="s">
        <v>157</v>
      </c>
      <c r="K110" t="s">
        <v>337</v>
      </c>
      <c r="L110" t="s">
        <v>22</v>
      </c>
      <c r="M110" s="1">
        <v>34489</v>
      </c>
      <c r="N110">
        <v>1994</v>
      </c>
    </row>
    <row r="111" spans="1:14">
      <c r="A111" t="s">
        <v>14</v>
      </c>
      <c r="B111" t="str">
        <f>"112710200000"</f>
        <v>112710200000</v>
      </c>
      <c r="C111" t="s">
        <v>497</v>
      </c>
      <c r="D111" t="s">
        <v>95</v>
      </c>
      <c r="G111" t="s">
        <v>17</v>
      </c>
      <c r="H111" t="s">
        <v>18</v>
      </c>
      <c r="I111" t="s">
        <v>156</v>
      </c>
      <c r="J111" t="s">
        <v>157</v>
      </c>
      <c r="K111" t="s">
        <v>337</v>
      </c>
      <c r="M111" s="1">
        <v>36826</v>
      </c>
      <c r="N111">
        <v>2000</v>
      </c>
    </row>
    <row r="112" spans="1:14">
      <c r="A112" t="s">
        <v>14</v>
      </c>
      <c r="B112" t="str">
        <f>"112209199900"</f>
        <v>112209199900</v>
      </c>
      <c r="C112" t="s">
        <v>878</v>
      </c>
      <c r="D112" t="s">
        <v>283</v>
      </c>
      <c r="G112" t="s">
        <v>17</v>
      </c>
      <c r="H112" t="s">
        <v>18</v>
      </c>
      <c r="I112" t="s">
        <v>156</v>
      </c>
      <c r="J112" t="s">
        <v>157</v>
      </c>
      <c r="K112" t="s">
        <v>158</v>
      </c>
      <c r="L112" t="s">
        <v>22</v>
      </c>
      <c r="M112" s="1">
        <v>36425</v>
      </c>
      <c r="N112">
        <v>1999</v>
      </c>
    </row>
    <row r="113" spans="1:14">
      <c r="A113" t="s">
        <v>14</v>
      </c>
      <c r="B113" t="str">
        <f>"111904200100"</f>
        <v>111904200100</v>
      </c>
      <c r="C113" t="s">
        <v>1221</v>
      </c>
      <c r="D113" t="s">
        <v>24</v>
      </c>
      <c r="G113" t="s">
        <v>17</v>
      </c>
      <c r="H113" t="s">
        <v>18</v>
      </c>
      <c r="I113" t="s">
        <v>156</v>
      </c>
      <c r="J113" t="s">
        <v>157</v>
      </c>
      <c r="K113" t="s">
        <v>158</v>
      </c>
      <c r="L113" t="s">
        <v>22</v>
      </c>
      <c r="M113" s="1">
        <v>37000</v>
      </c>
      <c r="N113">
        <v>2001</v>
      </c>
    </row>
    <row r="114" spans="1:14">
      <c r="A114" t="s">
        <v>14</v>
      </c>
      <c r="B114" t="str">
        <f>"110610200002"</f>
        <v>110610200002</v>
      </c>
      <c r="C114" t="s">
        <v>1389</v>
      </c>
      <c r="D114" t="s">
        <v>89</v>
      </c>
      <c r="G114" t="s">
        <v>17</v>
      </c>
      <c r="H114" t="s">
        <v>18</v>
      </c>
      <c r="I114" t="s">
        <v>156</v>
      </c>
      <c r="J114" t="s">
        <v>157</v>
      </c>
      <c r="K114" t="s">
        <v>158</v>
      </c>
      <c r="L114" t="s">
        <v>22</v>
      </c>
      <c r="M114" s="1">
        <v>36805</v>
      </c>
      <c r="N114">
        <v>2000</v>
      </c>
    </row>
    <row r="115" spans="1:14">
      <c r="A115" t="s">
        <v>14</v>
      </c>
      <c r="B115" t="str">
        <f>"110204200100"</f>
        <v>110204200100</v>
      </c>
      <c r="C115" t="s">
        <v>1443</v>
      </c>
      <c r="D115" t="s">
        <v>89</v>
      </c>
      <c r="G115" t="s">
        <v>17</v>
      </c>
      <c r="H115" t="s">
        <v>18</v>
      </c>
      <c r="I115" t="s">
        <v>156</v>
      </c>
      <c r="J115" t="s">
        <v>157</v>
      </c>
      <c r="K115" t="s">
        <v>337</v>
      </c>
      <c r="L115" t="s">
        <v>63</v>
      </c>
      <c r="M115" s="1">
        <v>36983</v>
      </c>
      <c r="N115">
        <v>2001</v>
      </c>
    </row>
    <row r="116" spans="1:14">
      <c r="A116" t="s">
        <v>14</v>
      </c>
      <c r="B116" t="str">
        <f>"110303199900"</f>
        <v>110303199900</v>
      </c>
      <c r="C116" t="s">
        <v>1443</v>
      </c>
      <c r="D116" t="s">
        <v>617</v>
      </c>
      <c r="G116" t="s">
        <v>17</v>
      </c>
      <c r="H116" t="s">
        <v>18</v>
      </c>
      <c r="I116" t="s">
        <v>156</v>
      </c>
      <c r="J116" t="s">
        <v>157</v>
      </c>
      <c r="K116" t="s">
        <v>337</v>
      </c>
      <c r="L116" t="s">
        <v>63</v>
      </c>
      <c r="M116" s="1">
        <v>36222</v>
      </c>
      <c r="N116">
        <v>1999</v>
      </c>
    </row>
    <row r="117" spans="1:14">
      <c r="A117" t="s">
        <v>14</v>
      </c>
      <c r="B117" t="str">
        <f>"111111200001"</f>
        <v>111111200001</v>
      </c>
      <c r="C117" t="s">
        <v>2099</v>
      </c>
      <c r="D117" t="s">
        <v>120</v>
      </c>
      <c r="G117" t="s">
        <v>17</v>
      </c>
      <c r="H117" t="s">
        <v>18</v>
      </c>
      <c r="I117" t="s">
        <v>156</v>
      </c>
      <c r="J117" t="s">
        <v>157</v>
      </c>
      <c r="K117" t="s">
        <v>337</v>
      </c>
      <c r="L117" t="s">
        <v>22</v>
      </c>
      <c r="M117" s="1">
        <v>36841</v>
      </c>
      <c r="N117">
        <v>2000</v>
      </c>
    </row>
    <row r="118" spans="1:14">
      <c r="A118" t="s">
        <v>14</v>
      </c>
      <c r="B118" t="str">
        <f>"112906200103"</f>
        <v>112906200103</v>
      </c>
      <c r="C118" t="s">
        <v>2149</v>
      </c>
      <c r="D118" t="s">
        <v>917</v>
      </c>
      <c r="G118" t="s">
        <v>17</v>
      </c>
      <c r="H118" t="s">
        <v>18</v>
      </c>
      <c r="I118" t="s">
        <v>156</v>
      </c>
      <c r="J118" t="s">
        <v>157</v>
      </c>
      <c r="K118" t="s">
        <v>337</v>
      </c>
      <c r="L118" t="s">
        <v>63</v>
      </c>
      <c r="M118" s="1">
        <v>37071</v>
      </c>
      <c r="N118">
        <v>2001</v>
      </c>
    </row>
    <row r="119" spans="1:14">
      <c r="A119" t="s">
        <v>14</v>
      </c>
      <c r="B119" t="str">
        <f>"112010200101"</f>
        <v>112010200101</v>
      </c>
      <c r="C119" t="s">
        <v>2149</v>
      </c>
      <c r="D119" t="s">
        <v>181</v>
      </c>
      <c r="G119" t="s">
        <v>17</v>
      </c>
      <c r="H119" t="s">
        <v>18</v>
      </c>
      <c r="I119" t="s">
        <v>156</v>
      </c>
      <c r="J119" t="s">
        <v>157</v>
      </c>
      <c r="K119" t="s">
        <v>337</v>
      </c>
      <c r="L119" t="s">
        <v>22</v>
      </c>
      <c r="M119" s="1">
        <v>37184</v>
      </c>
      <c r="N119">
        <v>2001</v>
      </c>
    </row>
    <row r="120" spans="1:14">
      <c r="A120" t="s">
        <v>14</v>
      </c>
      <c r="B120" t="str">
        <f>"112504199901"</f>
        <v>112504199901</v>
      </c>
      <c r="C120" t="s">
        <v>2742</v>
      </c>
      <c r="D120" t="s">
        <v>115</v>
      </c>
      <c r="G120" t="s">
        <v>17</v>
      </c>
      <c r="H120" t="s">
        <v>18</v>
      </c>
      <c r="I120" t="s">
        <v>156</v>
      </c>
      <c r="J120" t="s">
        <v>157</v>
      </c>
      <c r="K120" t="s">
        <v>337</v>
      </c>
      <c r="L120" t="s">
        <v>22</v>
      </c>
      <c r="M120" s="1">
        <v>36275</v>
      </c>
      <c r="N120">
        <v>1999</v>
      </c>
    </row>
    <row r="121" spans="1:14">
      <c r="A121" t="s">
        <v>14</v>
      </c>
      <c r="B121" t="str">
        <f>"111010200400"</f>
        <v>111010200400</v>
      </c>
      <c r="C121" t="s">
        <v>154</v>
      </c>
      <c r="D121" t="s">
        <v>155</v>
      </c>
      <c r="G121" t="s">
        <v>17</v>
      </c>
      <c r="H121" t="s">
        <v>39</v>
      </c>
      <c r="I121" t="s">
        <v>156</v>
      </c>
      <c r="J121" t="s">
        <v>157</v>
      </c>
      <c r="K121" t="s">
        <v>158</v>
      </c>
      <c r="M121" s="1">
        <v>38270</v>
      </c>
      <c r="N121">
        <v>2004</v>
      </c>
    </row>
    <row r="122" spans="1:14">
      <c r="A122" t="s">
        <v>14</v>
      </c>
      <c r="B122" t="str">
        <f>"112906200500"</f>
        <v>112906200500</v>
      </c>
      <c r="C122" t="s">
        <v>358</v>
      </c>
      <c r="D122" t="s">
        <v>16</v>
      </c>
      <c r="G122" t="s">
        <v>17</v>
      </c>
      <c r="H122" t="s">
        <v>39</v>
      </c>
      <c r="I122" t="s">
        <v>156</v>
      </c>
      <c r="J122" t="s">
        <v>157</v>
      </c>
      <c r="K122" t="s">
        <v>158</v>
      </c>
      <c r="M122" s="1">
        <v>38532</v>
      </c>
      <c r="N122">
        <v>2005</v>
      </c>
    </row>
    <row r="123" spans="1:14">
      <c r="A123" t="s">
        <v>14</v>
      </c>
      <c r="B123" t="str">
        <f>"111206200401"</f>
        <v>111206200401</v>
      </c>
      <c r="C123" t="s">
        <v>961</v>
      </c>
      <c r="D123" t="s">
        <v>129</v>
      </c>
      <c r="G123" t="s">
        <v>17</v>
      </c>
      <c r="H123" t="s">
        <v>39</v>
      </c>
      <c r="I123" t="s">
        <v>156</v>
      </c>
      <c r="J123" t="s">
        <v>157</v>
      </c>
      <c r="K123" t="s">
        <v>158</v>
      </c>
      <c r="M123" s="1">
        <v>38150</v>
      </c>
      <c r="N123">
        <v>2004</v>
      </c>
    </row>
    <row r="124" spans="1:14">
      <c r="A124" t="s">
        <v>14</v>
      </c>
      <c r="B124" t="str">
        <f>"110810200400"</f>
        <v>110810200400</v>
      </c>
      <c r="C124" t="s">
        <v>1090</v>
      </c>
      <c r="D124" t="s">
        <v>98</v>
      </c>
      <c r="G124" t="s">
        <v>17</v>
      </c>
      <c r="H124" t="s">
        <v>39</v>
      </c>
      <c r="I124" t="s">
        <v>156</v>
      </c>
      <c r="J124" t="s">
        <v>157</v>
      </c>
      <c r="K124" t="s">
        <v>158</v>
      </c>
      <c r="L124" t="s">
        <v>22</v>
      </c>
      <c r="M124" s="1">
        <v>38268</v>
      </c>
      <c r="N124">
        <v>2004</v>
      </c>
    </row>
    <row r="125" spans="1:14">
      <c r="A125" t="s">
        <v>14</v>
      </c>
      <c r="B125" t="str">
        <f>"110706200402"</f>
        <v>110706200402</v>
      </c>
      <c r="C125" t="s">
        <v>1334</v>
      </c>
      <c r="D125" t="s">
        <v>1335</v>
      </c>
      <c r="G125" t="s">
        <v>17</v>
      </c>
      <c r="H125" t="s">
        <v>39</v>
      </c>
      <c r="I125" t="s">
        <v>156</v>
      </c>
      <c r="J125" t="s">
        <v>157</v>
      </c>
      <c r="K125" t="s">
        <v>158</v>
      </c>
      <c r="M125" s="1">
        <v>38145</v>
      </c>
      <c r="N125">
        <v>2004</v>
      </c>
    </row>
    <row r="126" spans="1:14">
      <c r="A126" t="s">
        <v>14</v>
      </c>
      <c r="B126" t="str">
        <f>"113001200500"</f>
        <v>113001200500</v>
      </c>
      <c r="C126" t="s">
        <v>1613</v>
      </c>
      <c r="D126" t="s">
        <v>886</v>
      </c>
      <c r="G126" t="s">
        <v>17</v>
      </c>
      <c r="H126" t="s">
        <v>39</v>
      </c>
      <c r="I126" t="s">
        <v>156</v>
      </c>
      <c r="J126" t="s">
        <v>157</v>
      </c>
      <c r="K126" t="s">
        <v>158</v>
      </c>
      <c r="M126" s="1">
        <v>38382</v>
      </c>
      <c r="N126">
        <v>2005</v>
      </c>
    </row>
    <row r="127" spans="1:14">
      <c r="A127" t="s">
        <v>14</v>
      </c>
      <c r="B127" t="str">
        <f>"110202200401"</f>
        <v>110202200401</v>
      </c>
      <c r="C127" t="s">
        <v>1798</v>
      </c>
      <c r="D127" t="s">
        <v>115</v>
      </c>
      <c r="G127" t="s">
        <v>17</v>
      </c>
      <c r="H127" t="s">
        <v>39</v>
      </c>
      <c r="I127" t="s">
        <v>156</v>
      </c>
      <c r="J127" t="s">
        <v>157</v>
      </c>
      <c r="K127" t="s">
        <v>158</v>
      </c>
      <c r="M127" s="1">
        <v>38019</v>
      </c>
      <c r="N127">
        <v>2004</v>
      </c>
    </row>
    <row r="128" spans="1:14">
      <c r="A128" t="s">
        <v>14</v>
      </c>
      <c r="B128" t="str">
        <f>"111312200400"</f>
        <v>111312200400</v>
      </c>
      <c r="C128" t="s">
        <v>1935</v>
      </c>
      <c r="D128" t="s">
        <v>127</v>
      </c>
      <c r="G128" t="s">
        <v>17</v>
      </c>
      <c r="H128" t="s">
        <v>39</v>
      </c>
      <c r="I128" t="s">
        <v>156</v>
      </c>
      <c r="J128" t="s">
        <v>157</v>
      </c>
      <c r="K128" t="s">
        <v>158</v>
      </c>
      <c r="M128" s="1">
        <v>38334</v>
      </c>
      <c r="N128">
        <v>2004</v>
      </c>
    </row>
    <row r="129" spans="1:14">
      <c r="A129" t="s">
        <v>14</v>
      </c>
      <c r="B129" t="str">
        <f>"111204200500"</f>
        <v>111204200500</v>
      </c>
      <c r="C129" t="s">
        <v>2157</v>
      </c>
      <c r="D129" t="s">
        <v>209</v>
      </c>
      <c r="G129" t="s">
        <v>17</v>
      </c>
      <c r="H129" t="s">
        <v>39</v>
      </c>
      <c r="I129" t="s">
        <v>156</v>
      </c>
      <c r="J129" t="s">
        <v>157</v>
      </c>
      <c r="K129" t="s">
        <v>158</v>
      </c>
      <c r="M129" s="1">
        <v>38454</v>
      </c>
      <c r="N129">
        <v>2005</v>
      </c>
    </row>
    <row r="130" spans="1:14">
      <c r="A130" t="s">
        <v>14</v>
      </c>
      <c r="B130" t="str">
        <f>"110101200400"</f>
        <v>110101200400</v>
      </c>
      <c r="C130" t="s">
        <v>2179</v>
      </c>
      <c r="D130" t="s">
        <v>657</v>
      </c>
      <c r="G130" t="s">
        <v>17</v>
      </c>
      <c r="H130" t="s">
        <v>39</v>
      </c>
      <c r="I130" t="s">
        <v>156</v>
      </c>
      <c r="J130" t="s">
        <v>157</v>
      </c>
      <c r="K130" t="s">
        <v>158</v>
      </c>
      <c r="L130" t="s">
        <v>22</v>
      </c>
      <c r="M130" s="1">
        <v>37987</v>
      </c>
      <c r="N130">
        <v>2004</v>
      </c>
    </row>
    <row r="131" spans="1:14">
      <c r="A131" t="s">
        <v>14</v>
      </c>
      <c r="B131" t="str">
        <f>"110703200500"</f>
        <v>110703200500</v>
      </c>
      <c r="C131" t="s">
        <v>2328</v>
      </c>
      <c r="D131" t="s">
        <v>115</v>
      </c>
      <c r="G131" t="s">
        <v>17</v>
      </c>
      <c r="H131" t="s">
        <v>39</v>
      </c>
      <c r="I131" t="s">
        <v>156</v>
      </c>
      <c r="J131" t="s">
        <v>157</v>
      </c>
      <c r="K131" t="s">
        <v>158</v>
      </c>
      <c r="M131" s="1">
        <v>38418</v>
      </c>
      <c r="N131">
        <v>2005</v>
      </c>
    </row>
    <row r="132" spans="1:14">
      <c r="A132" t="s">
        <v>14</v>
      </c>
      <c r="B132" t="str">
        <f>"112010200400"</f>
        <v>112010200400</v>
      </c>
      <c r="C132" t="s">
        <v>2367</v>
      </c>
      <c r="D132" t="s">
        <v>2368</v>
      </c>
      <c r="G132" t="s">
        <v>17</v>
      </c>
      <c r="H132" t="s">
        <v>39</v>
      </c>
      <c r="I132" t="s">
        <v>156</v>
      </c>
      <c r="J132" t="s">
        <v>157</v>
      </c>
      <c r="K132" t="s">
        <v>158</v>
      </c>
      <c r="M132" s="1">
        <v>38280</v>
      </c>
      <c r="N132">
        <v>2004</v>
      </c>
    </row>
    <row r="133" spans="1:14">
      <c r="A133" t="s">
        <v>14</v>
      </c>
      <c r="B133" t="str">
        <f>"110605200500"</f>
        <v>110605200500</v>
      </c>
      <c r="C133" t="s">
        <v>2657</v>
      </c>
      <c r="D133" t="s">
        <v>382</v>
      </c>
      <c r="G133" t="s">
        <v>17</v>
      </c>
      <c r="H133" t="s">
        <v>39</v>
      </c>
      <c r="I133" t="s">
        <v>156</v>
      </c>
      <c r="J133" t="s">
        <v>157</v>
      </c>
      <c r="K133" t="s">
        <v>158</v>
      </c>
      <c r="M133" s="1">
        <v>38478</v>
      </c>
      <c r="N133">
        <v>2005</v>
      </c>
    </row>
    <row r="134" spans="1:14">
      <c r="A134" t="s">
        <v>14</v>
      </c>
      <c r="B134" t="str">
        <f>"111906200300"</f>
        <v>111906200300</v>
      </c>
      <c r="C134" t="s">
        <v>336</v>
      </c>
      <c r="D134" t="s">
        <v>268</v>
      </c>
      <c r="G134" t="s">
        <v>17</v>
      </c>
      <c r="H134" t="s">
        <v>51</v>
      </c>
      <c r="I134" t="s">
        <v>156</v>
      </c>
      <c r="J134" t="s">
        <v>157</v>
      </c>
      <c r="K134" t="s">
        <v>337</v>
      </c>
      <c r="L134" t="s">
        <v>22</v>
      </c>
      <c r="M134" s="1">
        <v>37791</v>
      </c>
      <c r="N134">
        <v>2003</v>
      </c>
    </row>
    <row r="135" spans="1:14">
      <c r="A135" t="s">
        <v>14</v>
      </c>
      <c r="B135" t="str">
        <f>"112504200300"</f>
        <v>112504200300</v>
      </c>
      <c r="C135" t="s">
        <v>413</v>
      </c>
      <c r="D135" t="s">
        <v>89</v>
      </c>
      <c r="G135" t="s">
        <v>17</v>
      </c>
      <c r="H135" t="s">
        <v>51</v>
      </c>
      <c r="I135" t="s">
        <v>156</v>
      </c>
      <c r="J135" t="s">
        <v>157</v>
      </c>
      <c r="K135" t="s">
        <v>337</v>
      </c>
      <c r="L135" t="s">
        <v>22</v>
      </c>
      <c r="M135" s="1">
        <v>37736</v>
      </c>
      <c r="N135">
        <v>2003</v>
      </c>
    </row>
    <row r="136" spans="1:14">
      <c r="A136" t="s">
        <v>14</v>
      </c>
      <c r="B136" t="str">
        <f>"111811200302"</f>
        <v>111811200302</v>
      </c>
      <c r="C136" t="s">
        <v>525</v>
      </c>
      <c r="D136" t="s">
        <v>129</v>
      </c>
      <c r="G136" t="s">
        <v>17</v>
      </c>
      <c r="H136" t="s">
        <v>51</v>
      </c>
      <c r="I136" t="s">
        <v>156</v>
      </c>
      <c r="J136" t="s">
        <v>157</v>
      </c>
      <c r="K136" t="s">
        <v>158</v>
      </c>
      <c r="M136" s="1">
        <v>37943</v>
      </c>
      <c r="N136">
        <v>2003</v>
      </c>
    </row>
    <row r="137" spans="1:14">
      <c r="A137" t="s">
        <v>14</v>
      </c>
      <c r="B137" t="str">
        <f>"110912200201"</f>
        <v>110912200201</v>
      </c>
      <c r="C137" t="s">
        <v>835</v>
      </c>
      <c r="D137" t="s">
        <v>259</v>
      </c>
      <c r="G137" t="s">
        <v>17</v>
      </c>
      <c r="H137" t="s">
        <v>51</v>
      </c>
      <c r="I137" t="s">
        <v>156</v>
      </c>
      <c r="J137" t="s">
        <v>157</v>
      </c>
      <c r="K137" t="s">
        <v>337</v>
      </c>
      <c r="L137" t="s">
        <v>22</v>
      </c>
      <c r="M137" s="1">
        <v>37599</v>
      </c>
      <c r="N137">
        <v>2002</v>
      </c>
    </row>
    <row r="138" spans="1:14">
      <c r="A138" t="s">
        <v>14</v>
      </c>
      <c r="B138" t="str">
        <f>"112912200300"</f>
        <v>112912200300</v>
      </c>
      <c r="C138" t="s">
        <v>861</v>
      </c>
      <c r="D138" t="s">
        <v>24</v>
      </c>
      <c r="G138" t="s">
        <v>17</v>
      </c>
      <c r="H138" t="s">
        <v>51</v>
      </c>
      <c r="I138" t="s">
        <v>156</v>
      </c>
      <c r="J138" t="s">
        <v>157</v>
      </c>
      <c r="K138" t="s">
        <v>337</v>
      </c>
      <c r="M138" s="1">
        <v>37984</v>
      </c>
      <c r="N138">
        <v>2003</v>
      </c>
    </row>
    <row r="139" spans="1:14">
      <c r="A139" t="s">
        <v>14</v>
      </c>
      <c r="B139" t="str">
        <f>"112106200200"</f>
        <v>112106200200</v>
      </c>
      <c r="C139" t="s">
        <v>919</v>
      </c>
      <c r="D139" t="s">
        <v>920</v>
      </c>
      <c r="G139" t="s">
        <v>17</v>
      </c>
      <c r="H139" t="s">
        <v>51</v>
      </c>
      <c r="I139" t="s">
        <v>156</v>
      </c>
      <c r="J139" t="s">
        <v>157</v>
      </c>
      <c r="K139" t="s">
        <v>337</v>
      </c>
      <c r="L139" t="s">
        <v>22</v>
      </c>
      <c r="M139" s="1">
        <v>37428</v>
      </c>
      <c r="N139">
        <v>2002</v>
      </c>
    </row>
    <row r="140" spans="1:14">
      <c r="A140" t="s">
        <v>14</v>
      </c>
      <c r="B140" t="str">
        <f>"112912200301"</f>
        <v>112912200301</v>
      </c>
      <c r="C140" t="s">
        <v>1018</v>
      </c>
      <c r="D140" t="s">
        <v>89</v>
      </c>
      <c r="G140" t="s">
        <v>17</v>
      </c>
      <c r="H140" t="s">
        <v>51</v>
      </c>
      <c r="I140" t="s">
        <v>156</v>
      </c>
      <c r="J140" t="s">
        <v>157</v>
      </c>
      <c r="K140" t="s">
        <v>337</v>
      </c>
      <c r="L140" t="s">
        <v>22</v>
      </c>
      <c r="M140" s="1">
        <v>37984</v>
      </c>
      <c r="N140">
        <v>2003</v>
      </c>
    </row>
    <row r="141" spans="1:14">
      <c r="A141" t="s">
        <v>14</v>
      </c>
      <c r="B141" t="str">
        <f>"110307200201"</f>
        <v>110307200201</v>
      </c>
      <c r="C141" t="s">
        <v>1074</v>
      </c>
      <c r="D141" t="s">
        <v>89</v>
      </c>
      <c r="G141" t="s">
        <v>17</v>
      </c>
      <c r="H141" t="s">
        <v>51</v>
      </c>
      <c r="I141" t="s">
        <v>156</v>
      </c>
      <c r="J141" t="s">
        <v>157</v>
      </c>
      <c r="K141" t="s">
        <v>337</v>
      </c>
      <c r="M141" s="1">
        <v>37440</v>
      </c>
      <c r="N141">
        <v>2002</v>
      </c>
    </row>
    <row r="142" spans="1:14">
      <c r="A142" t="s">
        <v>14</v>
      </c>
      <c r="B142" t="str">
        <f>"112908200300"</f>
        <v>112908200300</v>
      </c>
      <c r="C142" t="s">
        <v>1250</v>
      </c>
      <c r="D142" t="s">
        <v>24</v>
      </c>
      <c r="G142" t="s">
        <v>17</v>
      </c>
      <c r="H142" t="s">
        <v>51</v>
      </c>
      <c r="I142" t="s">
        <v>156</v>
      </c>
      <c r="J142" t="s">
        <v>157</v>
      </c>
      <c r="K142" t="s">
        <v>337</v>
      </c>
      <c r="M142" s="1">
        <v>37862</v>
      </c>
      <c r="N142">
        <v>2003</v>
      </c>
    </row>
    <row r="143" spans="1:14">
      <c r="A143" t="s">
        <v>14</v>
      </c>
      <c r="B143" t="str">
        <f>"113005200300"</f>
        <v>113005200300</v>
      </c>
      <c r="C143" t="s">
        <v>1402</v>
      </c>
      <c r="D143" t="s">
        <v>221</v>
      </c>
      <c r="G143" t="s">
        <v>17</v>
      </c>
      <c r="H143" t="s">
        <v>51</v>
      </c>
      <c r="I143" t="s">
        <v>156</v>
      </c>
      <c r="J143" t="s">
        <v>157</v>
      </c>
      <c r="K143" t="s">
        <v>337</v>
      </c>
      <c r="M143" s="1">
        <v>37771</v>
      </c>
      <c r="N143">
        <v>2003</v>
      </c>
    </row>
    <row r="144" spans="1:14">
      <c r="A144" t="s">
        <v>14</v>
      </c>
      <c r="B144" t="str">
        <f>"110602200300"</f>
        <v>110602200300</v>
      </c>
      <c r="C144" t="s">
        <v>1683</v>
      </c>
      <c r="D144" t="s">
        <v>631</v>
      </c>
      <c r="G144" t="s">
        <v>17</v>
      </c>
      <c r="H144" t="s">
        <v>51</v>
      </c>
      <c r="I144" t="s">
        <v>156</v>
      </c>
      <c r="J144" t="s">
        <v>157</v>
      </c>
      <c r="K144" t="s">
        <v>337</v>
      </c>
      <c r="M144" s="1">
        <v>37658</v>
      </c>
      <c r="N144">
        <v>2003</v>
      </c>
    </row>
    <row r="145" spans="1:14">
      <c r="A145" t="s">
        <v>14</v>
      </c>
      <c r="B145" t="str">
        <f>"110407200201"</f>
        <v>110407200201</v>
      </c>
      <c r="C145" t="s">
        <v>1718</v>
      </c>
      <c r="D145" t="s">
        <v>617</v>
      </c>
      <c r="G145" t="s">
        <v>17</v>
      </c>
      <c r="H145" t="s">
        <v>51</v>
      </c>
      <c r="I145" t="s">
        <v>156</v>
      </c>
      <c r="J145" t="s">
        <v>157</v>
      </c>
      <c r="K145" t="s">
        <v>158</v>
      </c>
      <c r="L145" t="s">
        <v>22</v>
      </c>
      <c r="M145" s="1">
        <v>37441</v>
      </c>
      <c r="N145">
        <v>2002</v>
      </c>
    </row>
    <row r="146" spans="1:14">
      <c r="A146" t="s">
        <v>14</v>
      </c>
      <c r="B146" t="str">
        <f>"110511200201"</f>
        <v>110511200201</v>
      </c>
      <c r="C146" t="s">
        <v>1835</v>
      </c>
      <c r="D146" t="s">
        <v>441</v>
      </c>
      <c r="G146" t="s">
        <v>17</v>
      </c>
      <c r="H146" t="s">
        <v>51</v>
      </c>
      <c r="I146" t="s">
        <v>156</v>
      </c>
      <c r="J146" t="s">
        <v>157</v>
      </c>
      <c r="K146" t="s">
        <v>158</v>
      </c>
      <c r="L146" t="s">
        <v>22</v>
      </c>
      <c r="M146" s="1">
        <v>37565</v>
      </c>
      <c r="N146">
        <v>2002</v>
      </c>
    </row>
    <row r="147" spans="1:14">
      <c r="A147" t="s">
        <v>14</v>
      </c>
      <c r="B147" t="str">
        <f>"111108200200"</f>
        <v>111108200200</v>
      </c>
      <c r="C147" t="s">
        <v>2079</v>
      </c>
      <c r="D147" t="s">
        <v>181</v>
      </c>
      <c r="G147" t="s">
        <v>17</v>
      </c>
      <c r="H147" t="s">
        <v>51</v>
      </c>
      <c r="I147" t="s">
        <v>156</v>
      </c>
      <c r="J147" t="s">
        <v>157</v>
      </c>
      <c r="K147" t="s">
        <v>337</v>
      </c>
      <c r="L147" t="s">
        <v>22</v>
      </c>
      <c r="M147" s="1">
        <v>37479</v>
      </c>
      <c r="N147">
        <v>2002</v>
      </c>
    </row>
    <row r="148" spans="1:14">
      <c r="A148" t="s">
        <v>14</v>
      </c>
      <c r="B148" t="str">
        <f>"110602200200"</f>
        <v>110602200200</v>
      </c>
      <c r="C148" t="s">
        <v>2128</v>
      </c>
      <c r="D148" t="s">
        <v>89</v>
      </c>
      <c r="G148" t="s">
        <v>17</v>
      </c>
      <c r="H148" t="s">
        <v>51</v>
      </c>
      <c r="I148" t="s">
        <v>156</v>
      </c>
      <c r="J148" t="s">
        <v>157</v>
      </c>
      <c r="K148" t="s">
        <v>337</v>
      </c>
      <c r="L148" t="s">
        <v>22</v>
      </c>
      <c r="M148" s="1">
        <v>37293</v>
      </c>
      <c r="N148">
        <v>2002</v>
      </c>
    </row>
    <row r="149" spans="1:14">
      <c r="A149" t="s">
        <v>14</v>
      </c>
      <c r="B149" t="str">
        <f>"111806200300"</f>
        <v>111806200300</v>
      </c>
      <c r="C149" t="s">
        <v>2298</v>
      </c>
      <c r="D149" t="s">
        <v>136</v>
      </c>
      <c r="G149" t="s">
        <v>17</v>
      </c>
      <c r="H149" t="s">
        <v>51</v>
      </c>
      <c r="I149" t="s">
        <v>156</v>
      </c>
      <c r="J149" t="s">
        <v>157</v>
      </c>
      <c r="K149" t="s">
        <v>158</v>
      </c>
      <c r="M149" s="1">
        <v>37790</v>
      </c>
      <c r="N149">
        <v>2003</v>
      </c>
    </row>
    <row r="150" spans="1:14">
      <c r="A150" t="s">
        <v>14</v>
      </c>
      <c r="B150" t="str">
        <f>"112208200300"</f>
        <v>112208200300</v>
      </c>
      <c r="C150" t="s">
        <v>2453</v>
      </c>
      <c r="D150" t="s">
        <v>259</v>
      </c>
      <c r="G150" t="s">
        <v>17</v>
      </c>
      <c r="H150" t="s">
        <v>51</v>
      </c>
      <c r="I150" t="s">
        <v>156</v>
      </c>
      <c r="J150" t="s">
        <v>157</v>
      </c>
      <c r="K150" t="s">
        <v>337</v>
      </c>
      <c r="L150" t="s">
        <v>22</v>
      </c>
      <c r="M150" s="1">
        <v>37855</v>
      </c>
      <c r="N150">
        <v>2003</v>
      </c>
    </row>
    <row r="151" spans="1:14">
      <c r="A151" t="s">
        <v>14</v>
      </c>
      <c r="B151" t="str">
        <f>"110309200201"</f>
        <v>110309200201</v>
      </c>
      <c r="C151" t="s">
        <v>2872</v>
      </c>
      <c r="D151" t="s">
        <v>277</v>
      </c>
      <c r="G151" t="s">
        <v>17</v>
      </c>
      <c r="H151" t="s">
        <v>51</v>
      </c>
      <c r="I151" t="s">
        <v>156</v>
      </c>
      <c r="J151" t="s">
        <v>157</v>
      </c>
      <c r="K151" t="s">
        <v>337</v>
      </c>
      <c r="M151" s="1">
        <v>37502</v>
      </c>
      <c r="N151">
        <v>2002</v>
      </c>
    </row>
    <row r="152" spans="1:14">
      <c r="A152" t="s">
        <v>14</v>
      </c>
      <c r="B152" t="str">
        <f>"121805200300"</f>
        <v>121805200300</v>
      </c>
      <c r="C152" t="s">
        <v>1512</v>
      </c>
      <c r="D152" t="s">
        <v>127</v>
      </c>
      <c r="G152" t="s">
        <v>32</v>
      </c>
      <c r="H152" t="s">
        <v>65</v>
      </c>
      <c r="I152" t="s">
        <v>506</v>
      </c>
      <c r="J152" t="s">
        <v>507</v>
      </c>
      <c r="K152" t="s">
        <v>508</v>
      </c>
      <c r="M152" s="1">
        <v>37759</v>
      </c>
      <c r="N152">
        <v>2003</v>
      </c>
    </row>
    <row r="153" spans="1:14">
      <c r="A153" t="s">
        <v>14</v>
      </c>
      <c r="B153" t="str">
        <f>"110805200400"</f>
        <v>110805200400</v>
      </c>
      <c r="C153" t="s">
        <v>1001</v>
      </c>
      <c r="D153" t="s">
        <v>120</v>
      </c>
      <c r="G153" t="s">
        <v>17</v>
      </c>
      <c r="H153" t="s">
        <v>39</v>
      </c>
      <c r="I153" t="s">
        <v>506</v>
      </c>
      <c r="J153" t="s">
        <v>507</v>
      </c>
      <c r="K153" t="s">
        <v>1002</v>
      </c>
      <c r="M153" s="1">
        <v>38115</v>
      </c>
      <c r="N153">
        <v>2004</v>
      </c>
    </row>
    <row r="154" spans="1:14">
      <c r="A154" t="s">
        <v>14</v>
      </c>
      <c r="B154" t="str">
        <f>"111807200500"</f>
        <v>111807200500</v>
      </c>
      <c r="C154" t="s">
        <v>1339</v>
      </c>
      <c r="D154" t="s">
        <v>283</v>
      </c>
      <c r="G154" t="s">
        <v>17</v>
      </c>
      <c r="H154" t="s">
        <v>39</v>
      </c>
      <c r="I154" t="s">
        <v>506</v>
      </c>
      <c r="J154" t="s">
        <v>507</v>
      </c>
      <c r="K154" t="s">
        <v>1002</v>
      </c>
      <c r="M154" s="1">
        <v>38551</v>
      </c>
      <c r="N154">
        <v>2005</v>
      </c>
    </row>
    <row r="155" spans="1:14">
      <c r="A155" t="s">
        <v>14</v>
      </c>
      <c r="B155" t="str">
        <f>"110303200400"</f>
        <v>110303200400</v>
      </c>
      <c r="C155" t="s">
        <v>1582</v>
      </c>
      <c r="D155" t="s">
        <v>89</v>
      </c>
      <c r="G155" t="s">
        <v>17</v>
      </c>
      <c r="H155" t="s">
        <v>39</v>
      </c>
      <c r="I155" t="s">
        <v>506</v>
      </c>
      <c r="J155" t="s">
        <v>507</v>
      </c>
      <c r="K155" t="s">
        <v>1002</v>
      </c>
      <c r="M155" s="1">
        <v>38049</v>
      </c>
      <c r="N155">
        <v>2004</v>
      </c>
    </row>
    <row r="156" spans="1:14">
      <c r="A156" t="s">
        <v>14</v>
      </c>
      <c r="B156" t="str">
        <f>"112302200500"</f>
        <v>112302200500</v>
      </c>
      <c r="C156" t="s">
        <v>1857</v>
      </c>
      <c r="D156" t="s">
        <v>53</v>
      </c>
      <c r="G156" t="s">
        <v>17</v>
      </c>
      <c r="H156" t="s">
        <v>39</v>
      </c>
      <c r="I156" t="s">
        <v>506</v>
      </c>
      <c r="J156" t="s">
        <v>507</v>
      </c>
      <c r="K156" t="s">
        <v>1002</v>
      </c>
      <c r="M156" s="1">
        <v>38406</v>
      </c>
      <c r="N156">
        <v>2005</v>
      </c>
    </row>
    <row r="157" spans="1:14">
      <c r="A157" t="s">
        <v>14</v>
      </c>
      <c r="B157" t="str">
        <f>"112809200300"</f>
        <v>112809200300</v>
      </c>
      <c r="C157" t="s">
        <v>505</v>
      </c>
      <c r="D157" t="s">
        <v>129</v>
      </c>
      <c r="G157" t="s">
        <v>17</v>
      </c>
      <c r="H157" t="s">
        <v>51</v>
      </c>
      <c r="I157" t="s">
        <v>506</v>
      </c>
      <c r="J157" t="s">
        <v>507</v>
      </c>
      <c r="K157" t="s">
        <v>508</v>
      </c>
      <c r="M157" s="1">
        <v>37892</v>
      </c>
      <c r="N157">
        <v>2003</v>
      </c>
    </row>
    <row r="158" spans="1:14">
      <c r="A158" t="s">
        <v>14</v>
      </c>
      <c r="B158" t="str">
        <f>"110610200300"</f>
        <v>110610200300</v>
      </c>
      <c r="C158" t="s">
        <v>683</v>
      </c>
      <c r="D158" t="s">
        <v>344</v>
      </c>
      <c r="G158" t="s">
        <v>17</v>
      </c>
      <c r="H158" t="s">
        <v>51</v>
      </c>
      <c r="I158" t="s">
        <v>506</v>
      </c>
      <c r="J158" t="s">
        <v>507</v>
      </c>
      <c r="K158" t="s">
        <v>508</v>
      </c>
      <c r="M158" s="1">
        <v>37900</v>
      </c>
      <c r="N158">
        <v>2003</v>
      </c>
    </row>
    <row r="159" spans="1:14">
      <c r="A159" t="s">
        <v>14</v>
      </c>
      <c r="B159" t="str">
        <f>"112111200300"</f>
        <v>112111200300</v>
      </c>
      <c r="C159" t="s">
        <v>980</v>
      </c>
      <c r="D159" t="s">
        <v>24</v>
      </c>
      <c r="G159" t="s">
        <v>17</v>
      </c>
      <c r="H159" t="s">
        <v>51</v>
      </c>
      <c r="I159" t="s">
        <v>506</v>
      </c>
      <c r="J159" t="s">
        <v>507</v>
      </c>
      <c r="K159" t="s">
        <v>508</v>
      </c>
      <c r="M159" s="1">
        <v>37946</v>
      </c>
      <c r="N159">
        <v>2003</v>
      </c>
    </row>
    <row r="160" spans="1:14">
      <c r="A160" t="s">
        <v>14</v>
      </c>
      <c r="B160" t="str">
        <f>"111104200200"</f>
        <v>111104200200</v>
      </c>
      <c r="C160" t="s">
        <v>1266</v>
      </c>
      <c r="D160" t="s">
        <v>129</v>
      </c>
      <c r="G160" t="s">
        <v>17</v>
      </c>
      <c r="H160" t="s">
        <v>51</v>
      </c>
      <c r="I160" t="s">
        <v>506</v>
      </c>
      <c r="J160" t="s">
        <v>507</v>
      </c>
      <c r="K160" t="s">
        <v>508</v>
      </c>
      <c r="L160" t="s">
        <v>22</v>
      </c>
      <c r="M160" s="1">
        <v>37357</v>
      </c>
      <c r="N160">
        <v>2002</v>
      </c>
    </row>
    <row r="161" spans="1:14">
      <c r="A161" t="s">
        <v>14</v>
      </c>
      <c r="B161" t="str">
        <f>"110303200300"</f>
        <v>110303200300</v>
      </c>
      <c r="C161" t="s">
        <v>1673</v>
      </c>
      <c r="D161" t="s">
        <v>129</v>
      </c>
      <c r="G161" t="s">
        <v>17</v>
      </c>
      <c r="H161" t="s">
        <v>51</v>
      </c>
      <c r="I161" t="s">
        <v>506</v>
      </c>
      <c r="J161" t="s">
        <v>507</v>
      </c>
      <c r="K161" t="s">
        <v>508</v>
      </c>
      <c r="M161" s="1">
        <v>37683</v>
      </c>
      <c r="N161">
        <v>2003</v>
      </c>
    </row>
    <row r="162" spans="1:14">
      <c r="A162" t="s">
        <v>14</v>
      </c>
      <c r="B162" t="str">
        <f>"111806200200"</f>
        <v>111806200200</v>
      </c>
      <c r="C162" t="s">
        <v>1779</v>
      </c>
      <c r="D162" t="s">
        <v>886</v>
      </c>
      <c r="G162" t="s">
        <v>17</v>
      </c>
      <c r="H162" t="s">
        <v>51</v>
      </c>
      <c r="I162" t="s">
        <v>506</v>
      </c>
      <c r="J162" t="s">
        <v>507</v>
      </c>
      <c r="K162" t="s">
        <v>508</v>
      </c>
      <c r="L162" t="s">
        <v>22</v>
      </c>
      <c r="M162" s="1">
        <v>37425</v>
      </c>
      <c r="N162">
        <v>2002</v>
      </c>
    </row>
    <row r="163" spans="1:14">
      <c r="A163" t="s">
        <v>14</v>
      </c>
      <c r="B163" t="str">
        <f>"110806200200"</f>
        <v>110806200200</v>
      </c>
      <c r="C163" t="s">
        <v>1926</v>
      </c>
      <c r="D163" t="s">
        <v>53</v>
      </c>
      <c r="G163" t="s">
        <v>17</v>
      </c>
      <c r="H163" t="s">
        <v>51</v>
      </c>
      <c r="I163" t="s">
        <v>506</v>
      </c>
      <c r="J163" t="s">
        <v>507</v>
      </c>
      <c r="K163" t="s">
        <v>508</v>
      </c>
      <c r="M163" s="1">
        <v>37415</v>
      </c>
      <c r="N163">
        <v>2002</v>
      </c>
    </row>
    <row r="164" spans="1:14">
      <c r="A164" t="s">
        <v>14</v>
      </c>
      <c r="B164" t="str">
        <f>"111202200300"</f>
        <v>111202200300</v>
      </c>
      <c r="C164" t="s">
        <v>2522</v>
      </c>
      <c r="D164" t="s">
        <v>16</v>
      </c>
      <c r="G164" t="s">
        <v>17</v>
      </c>
      <c r="H164" t="s">
        <v>51</v>
      </c>
      <c r="I164" t="s">
        <v>506</v>
      </c>
      <c r="J164" t="s">
        <v>507</v>
      </c>
      <c r="K164" t="s">
        <v>508</v>
      </c>
      <c r="M164" s="1">
        <v>37664</v>
      </c>
      <c r="N164">
        <v>2003</v>
      </c>
    </row>
    <row r="165" spans="1:14">
      <c r="A165" t="s">
        <v>14</v>
      </c>
      <c r="B165" t="str">
        <f>"112803200300"</f>
        <v>112803200300</v>
      </c>
      <c r="C165" t="s">
        <v>2584</v>
      </c>
      <c r="D165" t="s">
        <v>344</v>
      </c>
      <c r="G165" t="s">
        <v>17</v>
      </c>
      <c r="H165" t="s">
        <v>51</v>
      </c>
      <c r="I165" t="s">
        <v>506</v>
      </c>
      <c r="J165" t="s">
        <v>507</v>
      </c>
      <c r="K165" t="s">
        <v>508</v>
      </c>
      <c r="M165" s="1">
        <v>37708</v>
      </c>
      <c r="N165">
        <v>2003</v>
      </c>
    </row>
    <row r="166" spans="1:14">
      <c r="A166" t="s">
        <v>14</v>
      </c>
      <c r="B166" t="str">
        <f>"122012200400"</f>
        <v>122012200400</v>
      </c>
      <c r="C166" t="s">
        <v>1400</v>
      </c>
      <c r="D166" t="s">
        <v>232</v>
      </c>
      <c r="G166" t="s">
        <v>32</v>
      </c>
      <c r="H166" t="s">
        <v>33</v>
      </c>
      <c r="I166" t="s">
        <v>890</v>
      </c>
      <c r="J166" t="s">
        <v>891</v>
      </c>
      <c r="K166" t="s">
        <v>892</v>
      </c>
      <c r="M166" s="1">
        <v>38341</v>
      </c>
      <c r="N166">
        <v>2004</v>
      </c>
    </row>
    <row r="167" spans="1:14">
      <c r="A167" t="s">
        <v>14</v>
      </c>
      <c r="B167" t="str">
        <f>"122712200400"</f>
        <v>122712200400</v>
      </c>
      <c r="C167" t="s">
        <v>2741</v>
      </c>
      <c r="D167" t="s">
        <v>249</v>
      </c>
      <c r="G167" t="s">
        <v>32</v>
      </c>
      <c r="H167" t="s">
        <v>33</v>
      </c>
      <c r="I167" t="s">
        <v>890</v>
      </c>
      <c r="J167" t="s">
        <v>891</v>
      </c>
      <c r="K167" t="s">
        <v>892</v>
      </c>
      <c r="M167" s="1">
        <v>38348</v>
      </c>
      <c r="N167">
        <v>2004</v>
      </c>
    </row>
    <row r="168" spans="1:14">
      <c r="A168" t="s">
        <v>14</v>
      </c>
      <c r="B168" t="str">
        <f>"121303200201"</f>
        <v>121303200201</v>
      </c>
      <c r="C168" t="s">
        <v>1425</v>
      </c>
      <c r="D168" t="s">
        <v>380</v>
      </c>
      <c r="G168" t="s">
        <v>32</v>
      </c>
      <c r="H168" t="s">
        <v>65</v>
      </c>
      <c r="I168" t="s">
        <v>890</v>
      </c>
      <c r="J168" t="s">
        <v>891</v>
      </c>
      <c r="K168" t="s">
        <v>1226</v>
      </c>
      <c r="M168" s="1">
        <v>37328</v>
      </c>
      <c r="N168">
        <v>2002</v>
      </c>
    </row>
    <row r="169" spans="1:14">
      <c r="A169" t="s">
        <v>14</v>
      </c>
      <c r="B169" t="str">
        <f>"112012200002"</f>
        <v>112012200002</v>
      </c>
      <c r="C169" t="s">
        <v>1225</v>
      </c>
      <c r="D169" t="s">
        <v>129</v>
      </c>
      <c r="G169" t="s">
        <v>17</v>
      </c>
      <c r="H169" t="s">
        <v>18</v>
      </c>
      <c r="I169" t="s">
        <v>890</v>
      </c>
      <c r="J169" t="s">
        <v>891</v>
      </c>
      <c r="K169" t="s">
        <v>1226</v>
      </c>
      <c r="M169" s="1">
        <v>36880</v>
      </c>
      <c r="N169">
        <v>2000</v>
      </c>
    </row>
    <row r="170" spans="1:14">
      <c r="A170" t="s">
        <v>14</v>
      </c>
      <c r="B170" t="str">
        <f>"110103200400"</f>
        <v>110103200400</v>
      </c>
      <c r="C170" t="s">
        <v>1844</v>
      </c>
      <c r="D170" t="s">
        <v>53</v>
      </c>
      <c r="G170" t="s">
        <v>17</v>
      </c>
      <c r="H170" t="s">
        <v>39</v>
      </c>
      <c r="I170" t="s">
        <v>890</v>
      </c>
      <c r="J170" t="s">
        <v>891</v>
      </c>
      <c r="K170" t="s">
        <v>892</v>
      </c>
      <c r="M170" s="1">
        <v>38047</v>
      </c>
      <c r="N170">
        <v>2004</v>
      </c>
    </row>
    <row r="171" spans="1:14">
      <c r="A171" t="s">
        <v>14</v>
      </c>
      <c r="B171" t="str">
        <f>"111903200201"</f>
        <v>111903200201</v>
      </c>
      <c r="C171" t="s">
        <v>888</v>
      </c>
      <c r="D171" t="s">
        <v>889</v>
      </c>
      <c r="G171" t="s">
        <v>17</v>
      </c>
      <c r="H171" t="s">
        <v>51</v>
      </c>
      <c r="I171" t="s">
        <v>890</v>
      </c>
      <c r="J171" t="s">
        <v>891</v>
      </c>
      <c r="K171" t="s">
        <v>892</v>
      </c>
      <c r="M171" s="1">
        <v>37334</v>
      </c>
      <c r="N171">
        <v>2002</v>
      </c>
    </row>
    <row r="172" spans="1:14">
      <c r="A172" t="s">
        <v>14</v>
      </c>
      <c r="B172" t="str">
        <f>"111306200200"</f>
        <v>111306200200</v>
      </c>
      <c r="C172" t="s">
        <v>1860</v>
      </c>
      <c r="D172" t="s">
        <v>50</v>
      </c>
      <c r="G172" t="s">
        <v>17</v>
      </c>
      <c r="H172" t="s">
        <v>51</v>
      </c>
      <c r="I172" t="s">
        <v>890</v>
      </c>
      <c r="J172" t="s">
        <v>891</v>
      </c>
      <c r="K172" t="s">
        <v>892</v>
      </c>
      <c r="M172" s="1">
        <v>37420</v>
      </c>
      <c r="N172">
        <v>2002</v>
      </c>
    </row>
    <row r="173" spans="1:14">
      <c r="A173" t="s">
        <v>14</v>
      </c>
      <c r="B173" t="str">
        <f>"122010200400"</f>
        <v>122010200400</v>
      </c>
      <c r="C173" t="s">
        <v>1495</v>
      </c>
      <c r="D173" t="s">
        <v>184</v>
      </c>
      <c r="G173" t="s">
        <v>32</v>
      </c>
      <c r="H173" t="s">
        <v>33</v>
      </c>
      <c r="I173" t="s">
        <v>161</v>
      </c>
      <c r="J173" t="s">
        <v>162</v>
      </c>
      <c r="K173" t="s">
        <v>243</v>
      </c>
      <c r="M173" s="1">
        <v>38280</v>
      </c>
      <c r="N173">
        <v>2004</v>
      </c>
    </row>
    <row r="174" spans="1:14">
      <c r="A174" t="s">
        <v>14</v>
      </c>
      <c r="B174" t="str">
        <f>"121012200500"</f>
        <v>121012200500</v>
      </c>
      <c r="C174" t="s">
        <v>1496</v>
      </c>
      <c r="D174" t="s">
        <v>1497</v>
      </c>
      <c r="G174" t="s">
        <v>32</v>
      </c>
      <c r="H174" t="s">
        <v>33</v>
      </c>
      <c r="I174" t="s">
        <v>161</v>
      </c>
      <c r="J174" t="s">
        <v>162</v>
      </c>
      <c r="K174" t="s">
        <v>243</v>
      </c>
      <c r="M174" s="1">
        <v>38696</v>
      </c>
      <c r="N174">
        <v>2005</v>
      </c>
    </row>
    <row r="175" spans="1:14">
      <c r="A175" t="s">
        <v>14</v>
      </c>
      <c r="B175" t="str">
        <f>"120805200400"</f>
        <v>120805200400</v>
      </c>
      <c r="C175" t="s">
        <v>1879</v>
      </c>
      <c r="D175" t="s">
        <v>143</v>
      </c>
      <c r="G175" t="s">
        <v>32</v>
      </c>
      <c r="H175" t="s">
        <v>33</v>
      </c>
      <c r="I175" t="s">
        <v>161</v>
      </c>
      <c r="J175" t="s">
        <v>162</v>
      </c>
      <c r="K175" t="s">
        <v>243</v>
      </c>
      <c r="L175" t="s">
        <v>22</v>
      </c>
      <c r="M175" s="1">
        <v>38115</v>
      </c>
      <c r="N175">
        <v>2004</v>
      </c>
    </row>
    <row r="176" spans="1:14">
      <c r="A176" t="s">
        <v>14</v>
      </c>
      <c r="B176" t="str">
        <f>"122002200400"</f>
        <v>122002200400</v>
      </c>
      <c r="C176" t="s">
        <v>2668</v>
      </c>
      <c r="D176" t="s">
        <v>205</v>
      </c>
      <c r="G176" t="s">
        <v>32</v>
      </c>
      <c r="H176" t="s">
        <v>33</v>
      </c>
      <c r="I176" t="s">
        <v>161</v>
      </c>
      <c r="J176" t="s">
        <v>162</v>
      </c>
      <c r="K176" t="s">
        <v>243</v>
      </c>
      <c r="M176" s="1">
        <v>38037</v>
      </c>
      <c r="N176">
        <v>2004</v>
      </c>
    </row>
    <row r="177" spans="1:14">
      <c r="A177" t="s">
        <v>14</v>
      </c>
      <c r="B177" t="str">
        <f>"122506200200"</f>
        <v>122506200200</v>
      </c>
      <c r="C177" t="s">
        <v>1023</v>
      </c>
      <c r="D177" t="s">
        <v>238</v>
      </c>
      <c r="G177" t="s">
        <v>32</v>
      </c>
      <c r="H177" t="s">
        <v>65</v>
      </c>
      <c r="I177" t="s">
        <v>161</v>
      </c>
      <c r="J177" t="s">
        <v>162</v>
      </c>
      <c r="K177" t="s">
        <v>163</v>
      </c>
      <c r="L177" t="s">
        <v>22</v>
      </c>
      <c r="M177" s="1">
        <v>37432</v>
      </c>
      <c r="N177">
        <v>2002</v>
      </c>
    </row>
    <row r="178" spans="1:14">
      <c r="A178" t="s">
        <v>14</v>
      </c>
      <c r="B178" t="str">
        <f>"122310200300"</f>
        <v>122310200300</v>
      </c>
      <c r="C178" t="s">
        <v>1619</v>
      </c>
      <c r="D178" t="s">
        <v>31</v>
      </c>
      <c r="G178" t="s">
        <v>32</v>
      </c>
      <c r="H178" t="s">
        <v>65</v>
      </c>
      <c r="I178" t="s">
        <v>161</v>
      </c>
      <c r="J178" t="s">
        <v>162</v>
      </c>
      <c r="K178" t="s">
        <v>163</v>
      </c>
      <c r="L178" t="s">
        <v>22</v>
      </c>
      <c r="M178" s="1">
        <v>37917</v>
      </c>
      <c r="N178">
        <v>2003</v>
      </c>
    </row>
    <row r="179" spans="1:14">
      <c r="A179" t="s">
        <v>14</v>
      </c>
      <c r="B179" t="str">
        <f>"123007200300"</f>
        <v>123007200300</v>
      </c>
      <c r="C179" t="s">
        <v>1947</v>
      </c>
      <c r="D179" t="s">
        <v>380</v>
      </c>
      <c r="G179" t="s">
        <v>32</v>
      </c>
      <c r="H179" t="s">
        <v>65</v>
      </c>
      <c r="I179" t="s">
        <v>161</v>
      </c>
      <c r="J179" t="s">
        <v>162</v>
      </c>
      <c r="K179" t="s">
        <v>163</v>
      </c>
      <c r="M179" s="1">
        <v>37832</v>
      </c>
      <c r="N179">
        <v>2003</v>
      </c>
    </row>
    <row r="180" spans="1:14">
      <c r="A180" t="s">
        <v>14</v>
      </c>
      <c r="B180" t="str">
        <f>"122305200201"</f>
        <v>122305200201</v>
      </c>
      <c r="C180" t="s">
        <v>2385</v>
      </c>
      <c r="D180" t="s">
        <v>58</v>
      </c>
      <c r="G180" t="s">
        <v>32</v>
      </c>
      <c r="H180" t="s">
        <v>65</v>
      </c>
      <c r="I180" t="s">
        <v>161</v>
      </c>
      <c r="J180" t="s">
        <v>162</v>
      </c>
      <c r="K180" t="s">
        <v>737</v>
      </c>
      <c r="L180" t="s">
        <v>22</v>
      </c>
      <c r="M180" s="1">
        <v>37399</v>
      </c>
      <c r="N180">
        <v>2002</v>
      </c>
    </row>
    <row r="181" spans="1:14">
      <c r="A181" t="s">
        <v>14</v>
      </c>
      <c r="B181" t="str">
        <f>"122809200300"</f>
        <v>122809200300</v>
      </c>
      <c r="C181" t="s">
        <v>2414</v>
      </c>
      <c r="D181" t="s">
        <v>380</v>
      </c>
      <c r="G181" t="s">
        <v>32</v>
      </c>
      <c r="H181" t="s">
        <v>65</v>
      </c>
      <c r="I181" t="s">
        <v>161</v>
      </c>
      <c r="J181" t="s">
        <v>162</v>
      </c>
      <c r="K181" t="s">
        <v>737</v>
      </c>
      <c r="L181" t="s">
        <v>22</v>
      </c>
      <c r="M181" s="1">
        <v>37892</v>
      </c>
      <c r="N181">
        <v>2003</v>
      </c>
    </row>
    <row r="182" spans="1:14">
      <c r="A182" t="s">
        <v>14</v>
      </c>
      <c r="B182" t="str">
        <f>"121203200300"</f>
        <v>121203200300</v>
      </c>
      <c r="C182" t="s">
        <v>2769</v>
      </c>
      <c r="D182" t="s">
        <v>233</v>
      </c>
      <c r="G182" t="s">
        <v>32</v>
      </c>
      <c r="H182" t="s">
        <v>65</v>
      </c>
      <c r="I182" t="s">
        <v>161</v>
      </c>
      <c r="J182" t="s">
        <v>162</v>
      </c>
      <c r="K182" t="s">
        <v>737</v>
      </c>
      <c r="M182" s="1">
        <v>37692</v>
      </c>
      <c r="N182">
        <v>2003</v>
      </c>
    </row>
    <row r="183" spans="1:14">
      <c r="A183" t="s">
        <v>14</v>
      </c>
      <c r="B183" t="str">
        <f>"122809199900"</f>
        <v>122809199900</v>
      </c>
      <c r="C183" t="s">
        <v>313</v>
      </c>
      <c r="D183" t="s">
        <v>310</v>
      </c>
      <c r="G183" t="s">
        <v>32</v>
      </c>
      <c r="H183" t="s">
        <v>44</v>
      </c>
      <c r="I183" t="s">
        <v>161</v>
      </c>
      <c r="J183" t="s">
        <v>162</v>
      </c>
      <c r="K183" t="s">
        <v>163</v>
      </c>
      <c r="M183" s="1">
        <v>36431</v>
      </c>
      <c r="N183">
        <v>1999</v>
      </c>
    </row>
    <row r="184" spans="1:14">
      <c r="A184" t="s">
        <v>14</v>
      </c>
      <c r="B184" t="str">
        <f>"121404200000"</f>
        <v>121404200000</v>
      </c>
      <c r="C184" t="s">
        <v>603</v>
      </c>
      <c r="D184" t="s">
        <v>232</v>
      </c>
      <c r="G184" t="s">
        <v>32</v>
      </c>
      <c r="H184" t="s">
        <v>44</v>
      </c>
      <c r="I184" t="s">
        <v>161</v>
      </c>
      <c r="J184" t="s">
        <v>162</v>
      </c>
      <c r="K184" t="s">
        <v>163</v>
      </c>
      <c r="M184" s="1">
        <v>36630</v>
      </c>
      <c r="N184">
        <v>2000</v>
      </c>
    </row>
    <row r="185" spans="1:14">
      <c r="A185" t="s">
        <v>14</v>
      </c>
      <c r="B185" t="str">
        <f>"121006200100"</f>
        <v>121006200100</v>
      </c>
      <c r="C185" t="s">
        <v>654</v>
      </c>
      <c r="D185" t="s">
        <v>58</v>
      </c>
      <c r="G185" t="s">
        <v>32</v>
      </c>
      <c r="H185" t="s">
        <v>44</v>
      </c>
      <c r="I185" t="s">
        <v>161</v>
      </c>
      <c r="J185" t="s">
        <v>162</v>
      </c>
      <c r="K185" t="s">
        <v>163</v>
      </c>
      <c r="L185" t="s">
        <v>22</v>
      </c>
      <c r="M185" s="1">
        <v>37052</v>
      </c>
      <c r="N185">
        <v>2001</v>
      </c>
    </row>
    <row r="186" spans="1:14">
      <c r="A186" t="s">
        <v>14</v>
      </c>
      <c r="B186" t="str">
        <f>"122807200000"</f>
        <v>122807200000</v>
      </c>
      <c r="C186" t="s">
        <v>1249</v>
      </c>
      <c r="D186" t="s">
        <v>184</v>
      </c>
      <c r="G186" t="s">
        <v>32</v>
      </c>
      <c r="H186" t="s">
        <v>44</v>
      </c>
      <c r="I186" t="s">
        <v>161</v>
      </c>
      <c r="J186" t="s">
        <v>162</v>
      </c>
      <c r="K186" t="s">
        <v>163</v>
      </c>
      <c r="L186" t="s">
        <v>22</v>
      </c>
      <c r="M186" s="1">
        <v>36735</v>
      </c>
      <c r="N186">
        <v>2000</v>
      </c>
    </row>
    <row r="187" spans="1:14">
      <c r="A187" t="s">
        <v>14</v>
      </c>
      <c r="B187" t="str">
        <f>"120312200000"</f>
        <v>120312200000</v>
      </c>
      <c r="C187" t="s">
        <v>1868</v>
      </c>
      <c r="D187" t="s">
        <v>64</v>
      </c>
      <c r="G187" t="s">
        <v>32</v>
      </c>
      <c r="H187" t="s">
        <v>44</v>
      </c>
      <c r="I187" t="s">
        <v>161</v>
      </c>
      <c r="J187" t="s">
        <v>162</v>
      </c>
      <c r="K187" t="s">
        <v>163</v>
      </c>
      <c r="L187" t="s">
        <v>22</v>
      </c>
      <c r="M187" s="1">
        <v>36863</v>
      </c>
      <c r="N187">
        <v>2000</v>
      </c>
    </row>
    <row r="188" spans="1:14">
      <c r="A188" t="s">
        <v>14</v>
      </c>
      <c r="B188" t="str">
        <f>"112906200100"</f>
        <v>112906200100</v>
      </c>
      <c r="C188" t="s">
        <v>736</v>
      </c>
      <c r="D188" t="s">
        <v>16</v>
      </c>
      <c r="G188" t="s">
        <v>17</v>
      </c>
      <c r="H188" t="s">
        <v>18</v>
      </c>
      <c r="I188" t="s">
        <v>161</v>
      </c>
      <c r="J188" t="s">
        <v>162</v>
      </c>
      <c r="K188" t="s">
        <v>737</v>
      </c>
      <c r="M188" s="1">
        <v>37071</v>
      </c>
      <c r="N188">
        <v>2001</v>
      </c>
    </row>
    <row r="189" spans="1:14">
      <c r="A189" t="s">
        <v>14</v>
      </c>
      <c r="B189" t="str">
        <f>"112205200000"</f>
        <v>112205200000</v>
      </c>
      <c r="C189" t="s">
        <v>777</v>
      </c>
      <c r="D189" t="s">
        <v>129</v>
      </c>
      <c r="G189" t="s">
        <v>17</v>
      </c>
      <c r="H189" t="s">
        <v>18</v>
      </c>
      <c r="I189" t="s">
        <v>161</v>
      </c>
      <c r="J189" t="s">
        <v>162</v>
      </c>
      <c r="K189" t="s">
        <v>778</v>
      </c>
      <c r="L189" t="s">
        <v>22</v>
      </c>
      <c r="M189" s="1">
        <v>36668</v>
      </c>
      <c r="N189">
        <v>2000</v>
      </c>
    </row>
    <row r="190" spans="1:14">
      <c r="A190" t="s">
        <v>14</v>
      </c>
      <c r="B190" t="str">
        <f>"110511200100"</f>
        <v>110511200100</v>
      </c>
      <c r="C190" t="s">
        <v>2529</v>
      </c>
      <c r="D190" t="s">
        <v>209</v>
      </c>
      <c r="G190" t="s">
        <v>17</v>
      </c>
      <c r="H190" t="s">
        <v>18</v>
      </c>
      <c r="I190" t="s">
        <v>161</v>
      </c>
      <c r="J190" t="s">
        <v>162</v>
      </c>
      <c r="K190" t="s">
        <v>737</v>
      </c>
      <c r="M190" s="1">
        <v>37200</v>
      </c>
      <c r="N190">
        <v>2001</v>
      </c>
    </row>
    <row r="191" spans="1:14">
      <c r="A191" t="s">
        <v>14</v>
      </c>
      <c r="B191" t="str">
        <f>"110912200100"</f>
        <v>110912200100</v>
      </c>
      <c r="C191" t="s">
        <v>2597</v>
      </c>
      <c r="D191" t="s">
        <v>24</v>
      </c>
      <c r="G191" t="s">
        <v>17</v>
      </c>
      <c r="H191" t="s">
        <v>18</v>
      </c>
      <c r="I191" t="s">
        <v>161</v>
      </c>
      <c r="J191" t="s">
        <v>162</v>
      </c>
      <c r="K191" t="s">
        <v>163</v>
      </c>
      <c r="L191" t="s">
        <v>63</v>
      </c>
      <c r="M191" s="1">
        <v>37234</v>
      </c>
      <c r="N191">
        <v>2001</v>
      </c>
    </row>
    <row r="192" spans="1:14">
      <c r="A192" t="s">
        <v>14</v>
      </c>
      <c r="B192" t="str">
        <f>"111901200000"</f>
        <v>111901200000</v>
      </c>
      <c r="C192" t="s">
        <v>2918</v>
      </c>
      <c r="D192" t="s">
        <v>373</v>
      </c>
      <c r="G192" t="s">
        <v>17</v>
      </c>
      <c r="H192" t="s">
        <v>18</v>
      </c>
      <c r="I192" t="s">
        <v>161</v>
      </c>
      <c r="J192" t="s">
        <v>162</v>
      </c>
      <c r="K192" t="s">
        <v>737</v>
      </c>
      <c r="M192" s="1">
        <v>36544</v>
      </c>
      <c r="N192">
        <v>2000</v>
      </c>
    </row>
    <row r="193" spans="1:14">
      <c r="A193" t="s">
        <v>14</v>
      </c>
      <c r="B193" t="str">
        <f>"113012200402"</f>
        <v>113012200402</v>
      </c>
      <c r="C193" t="s">
        <v>242</v>
      </c>
      <c r="D193" t="s">
        <v>221</v>
      </c>
      <c r="G193" t="s">
        <v>17</v>
      </c>
      <c r="H193" t="s">
        <v>39</v>
      </c>
      <c r="I193" t="s">
        <v>161</v>
      </c>
      <c r="J193" t="s">
        <v>162</v>
      </c>
      <c r="K193" t="s">
        <v>243</v>
      </c>
      <c r="M193" s="1">
        <v>38351</v>
      </c>
      <c r="N193">
        <v>2004</v>
      </c>
    </row>
    <row r="194" spans="1:14">
      <c r="A194" t="s">
        <v>14</v>
      </c>
      <c r="B194" t="str">
        <f>"111109200400"</f>
        <v>111109200400</v>
      </c>
      <c r="C194" t="s">
        <v>1151</v>
      </c>
      <c r="D194" t="s">
        <v>558</v>
      </c>
      <c r="G194" t="s">
        <v>17</v>
      </c>
      <c r="H194" t="s">
        <v>39</v>
      </c>
      <c r="I194" t="s">
        <v>161</v>
      </c>
      <c r="J194" t="s">
        <v>162</v>
      </c>
      <c r="K194" t="s">
        <v>778</v>
      </c>
      <c r="M194" s="1">
        <v>38241</v>
      </c>
      <c r="N194">
        <v>2004</v>
      </c>
    </row>
    <row r="195" spans="1:14">
      <c r="A195" t="s">
        <v>14</v>
      </c>
      <c r="B195" t="str">
        <f>"111611200500"</f>
        <v>111611200500</v>
      </c>
      <c r="C195" t="s">
        <v>1287</v>
      </c>
      <c r="D195" t="s">
        <v>115</v>
      </c>
      <c r="G195" t="s">
        <v>17</v>
      </c>
      <c r="H195" t="s">
        <v>39</v>
      </c>
      <c r="I195" t="s">
        <v>161</v>
      </c>
      <c r="J195" t="s">
        <v>162</v>
      </c>
      <c r="K195" t="s">
        <v>243</v>
      </c>
      <c r="M195" s="1">
        <v>38672</v>
      </c>
      <c r="N195">
        <v>2005</v>
      </c>
    </row>
    <row r="196" spans="1:14">
      <c r="A196" t="s">
        <v>14</v>
      </c>
      <c r="B196" t="str">
        <f>"110106200400"</f>
        <v>110106200400</v>
      </c>
      <c r="C196" t="s">
        <v>2819</v>
      </c>
      <c r="D196" t="s">
        <v>120</v>
      </c>
      <c r="G196" t="s">
        <v>17</v>
      </c>
      <c r="H196" t="s">
        <v>39</v>
      </c>
      <c r="I196" t="s">
        <v>161</v>
      </c>
      <c r="J196" t="s">
        <v>162</v>
      </c>
      <c r="K196" t="s">
        <v>243</v>
      </c>
      <c r="L196" t="s">
        <v>22</v>
      </c>
      <c r="M196" s="1">
        <v>38139</v>
      </c>
      <c r="N196">
        <v>2004</v>
      </c>
    </row>
    <row r="197" spans="1:14">
      <c r="A197" t="s">
        <v>14</v>
      </c>
      <c r="B197" t="str">
        <f>"111807200201"</f>
        <v>111807200201</v>
      </c>
      <c r="C197" t="s">
        <v>159</v>
      </c>
      <c r="D197" t="s">
        <v>160</v>
      </c>
      <c r="G197" t="s">
        <v>17</v>
      </c>
      <c r="H197" t="s">
        <v>51</v>
      </c>
      <c r="I197" t="s">
        <v>161</v>
      </c>
      <c r="J197" t="s">
        <v>162</v>
      </c>
      <c r="K197" t="s">
        <v>163</v>
      </c>
      <c r="M197" s="1">
        <v>37455</v>
      </c>
      <c r="N197">
        <v>2002</v>
      </c>
    </row>
    <row r="198" spans="1:14">
      <c r="A198" t="s">
        <v>14</v>
      </c>
      <c r="B198" t="str">
        <f>"112409200300"</f>
        <v>112409200300</v>
      </c>
      <c r="C198" t="s">
        <v>903</v>
      </c>
      <c r="D198" t="s">
        <v>728</v>
      </c>
      <c r="G198" t="s">
        <v>17</v>
      </c>
      <c r="H198" t="s">
        <v>51</v>
      </c>
      <c r="I198" t="s">
        <v>161</v>
      </c>
      <c r="J198" t="s">
        <v>162</v>
      </c>
      <c r="K198" t="s">
        <v>737</v>
      </c>
      <c r="M198" s="1">
        <v>37888</v>
      </c>
      <c r="N198">
        <v>2003</v>
      </c>
    </row>
    <row r="199" spans="1:14">
      <c r="A199" t="s">
        <v>14</v>
      </c>
      <c r="B199" t="str">
        <f>"112806200200"</f>
        <v>112806200200</v>
      </c>
      <c r="C199" t="s">
        <v>1010</v>
      </c>
      <c r="D199" t="s">
        <v>98</v>
      </c>
      <c r="G199" t="s">
        <v>17</v>
      </c>
      <c r="H199" t="s">
        <v>51</v>
      </c>
      <c r="I199" t="s">
        <v>161</v>
      </c>
      <c r="J199" t="s">
        <v>162</v>
      </c>
      <c r="K199" t="s">
        <v>737</v>
      </c>
      <c r="M199" s="1">
        <v>37435</v>
      </c>
      <c r="N199">
        <v>2002</v>
      </c>
    </row>
    <row r="200" spans="1:14">
      <c r="A200" t="s">
        <v>14</v>
      </c>
      <c r="B200" t="str">
        <f>"111707200200"</f>
        <v>111707200200</v>
      </c>
      <c r="C200" t="s">
        <v>1266</v>
      </c>
      <c r="D200" t="s">
        <v>98</v>
      </c>
      <c r="G200" t="s">
        <v>17</v>
      </c>
      <c r="H200" t="s">
        <v>51</v>
      </c>
      <c r="I200" t="s">
        <v>161</v>
      </c>
      <c r="J200" t="s">
        <v>162</v>
      </c>
      <c r="K200" t="s">
        <v>163</v>
      </c>
      <c r="L200" t="s">
        <v>22</v>
      </c>
      <c r="M200" s="1">
        <v>37454</v>
      </c>
      <c r="N200">
        <v>2002</v>
      </c>
    </row>
    <row r="201" spans="1:14">
      <c r="A201" t="s">
        <v>14</v>
      </c>
      <c r="B201" t="str">
        <f>"112110200300"</f>
        <v>112110200300</v>
      </c>
      <c r="C201" t="s">
        <v>2361</v>
      </c>
      <c r="D201" t="s">
        <v>70</v>
      </c>
      <c r="G201" t="s">
        <v>17</v>
      </c>
      <c r="H201" t="s">
        <v>51</v>
      </c>
      <c r="I201" t="s">
        <v>161</v>
      </c>
      <c r="J201" t="s">
        <v>162</v>
      </c>
      <c r="K201" t="s">
        <v>737</v>
      </c>
      <c r="M201" s="1">
        <v>37915</v>
      </c>
      <c r="N201">
        <v>2003</v>
      </c>
    </row>
    <row r="202" spans="1:14">
      <c r="A202" t="s">
        <v>14</v>
      </c>
      <c r="B202" t="str">
        <f>"120305200400"</f>
        <v>120305200400</v>
      </c>
      <c r="C202" t="s">
        <v>345</v>
      </c>
      <c r="D202" t="s">
        <v>184</v>
      </c>
      <c r="G202" t="s">
        <v>32</v>
      </c>
      <c r="H202" t="s">
        <v>33</v>
      </c>
      <c r="I202" t="s">
        <v>19</v>
      </c>
      <c r="J202" t="s">
        <v>20</v>
      </c>
      <c r="K202" t="s">
        <v>346</v>
      </c>
      <c r="L202" t="s">
        <v>22</v>
      </c>
      <c r="M202" s="1">
        <v>38110</v>
      </c>
      <c r="N202">
        <v>2004</v>
      </c>
    </row>
    <row r="203" spans="1:14">
      <c r="A203" t="s">
        <v>14</v>
      </c>
      <c r="B203" t="str">
        <f>"122911200400"</f>
        <v>122911200400</v>
      </c>
      <c r="C203" t="s">
        <v>978</v>
      </c>
      <c r="D203" t="s">
        <v>587</v>
      </c>
      <c r="G203" t="s">
        <v>32</v>
      </c>
      <c r="H203" t="s">
        <v>33</v>
      </c>
      <c r="I203" t="s">
        <v>19</v>
      </c>
      <c r="J203" t="s">
        <v>20</v>
      </c>
      <c r="K203" t="s">
        <v>979</v>
      </c>
      <c r="L203" t="s">
        <v>22</v>
      </c>
      <c r="M203" s="1">
        <v>38320</v>
      </c>
      <c r="N203">
        <v>2004</v>
      </c>
    </row>
    <row r="204" spans="1:14">
      <c r="A204" t="s">
        <v>14</v>
      </c>
      <c r="B204" t="str">
        <f>"120605200500"</f>
        <v>120605200500</v>
      </c>
      <c r="C204" t="s">
        <v>2704</v>
      </c>
      <c r="D204" t="s">
        <v>970</v>
      </c>
      <c r="G204" t="s">
        <v>32</v>
      </c>
      <c r="H204" t="s">
        <v>33</v>
      </c>
      <c r="I204" t="s">
        <v>19</v>
      </c>
      <c r="J204" t="s">
        <v>20</v>
      </c>
      <c r="K204" t="s">
        <v>979</v>
      </c>
      <c r="L204" t="s">
        <v>22</v>
      </c>
      <c r="M204" s="1">
        <v>38478</v>
      </c>
      <c r="N204">
        <v>2005</v>
      </c>
    </row>
    <row r="205" spans="1:14">
      <c r="A205" t="s">
        <v>14</v>
      </c>
      <c r="B205" t="str">
        <f>"120801200300"</f>
        <v>120801200300</v>
      </c>
      <c r="C205" t="s">
        <v>231</v>
      </c>
      <c r="D205" t="s">
        <v>232</v>
      </c>
      <c r="G205" t="s">
        <v>32</v>
      </c>
      <c r="H205" t="s">
        <v>65</v>
      </c>
      <c r="I205" t="s">
        <v>19</v>
      </c>
      <c r="J205" t="s">
        <v>20</v>
      </c>
      <c r="K205" t="s">
        <v>101</v>
      </c>
      <c r="L205" t="s">
        <v>22</v>
      </c>
      <c r="M205" s="1">
        <v>37629</v>
      </c>
      <c r="N205">
        <v>2003</v>
      </c>
    </row>
    <row r="206" spans="1:14">
      <c r="A206" t="s">
        <v>14</v>
      </c>
      <c r="B206" t="str">
        <f>"122705200201"</f>
        <v>122705200201</v>
      </c>
      <c r="C206" t="s">
        <v>658</v>
      </c>
      <c r="D206" t="s">
        <v>188</v>
      </c>
      <c r="G206" t="s">
        <v>32</v>
      </c>
      <c r="H206" t="s">
        <v>65</v>
      </c>
      <c r="I206" t="s">
        <v>19</v>
      </c>
      <c r="J206" t="s">
        <v>20</v>
      </c>
      <c r="K206" t="s">
        <v>21</v>
      </c>
      <c r="M206" s="1">
        <v>37403</v>
      </c>
      <c r="N206">
        <v>2002</v>
      </c>
    </row>
    <row r="207" spans="1:14">
      <c r="A207" t="s">
        <v>14</v>
      </c>
      <c r="B207" t="str">
        <f>"121311200301"</f>
        <v>121311200301</v>
      </c>
      <c r="C207" t="s">
        <v>969</v>
      </c>
      <c r="D207" t="s">
        <v>970</v>
      </c>
      <c r="G207" t="s">
        <v>32</v>
      </c>
      <c r="H207" t="s">
        <v>65</v>
      </c>
      <c r="I207" t="s">
        <v>19</v>
      </c>
      <c r="J207" t="s">
        <v>20</v>
      </c>
      <c r="K207" t="s">
        <v>21</v>
      </c>
      <c r="L207" t="s">
        <v>22</v>
      </c>
      <c r="M207" s="1">
        <v>37938</v>
      </c>
      <c r="N207">
        <v>2003</v>
      </c>
    </row>
    <row r="208" spans="1:14">
      <c r="A208" t="s">
        <v>14</v>
      </c>
      <c r="B208" t="str">
        <f>"121608200300"</f>
        <v>121608200300</v>
      </c>
      <c r="C208" t="s">
        <v>1227</v>
      </c>
      <c r="D208" t="s">
        <v>127</v>
      </c>
      <c r="G208" t="s">
        <v>32</v>
      </c>
      <c r="H208" t="s">
        <v>65</v>
      </c>
      <c r="I208" t="s">
        <v>19</v>
      </c>
      <c r="J208" t="s">
        <v>20</v>
      </c>
      <c r="K208" t="s">
        <v>21</v>
      </c>
      <c r="M208" s="1">
        <v>37849</v>
      </c>
      <c r="N208">
        <v>2003</v>
      </c>
    </row>
    <row r="209" spans="1:14">
      <c r="A209" t="s">
        <v>14</v>
      </c>
      <c r="B209" t="str">
        <f>"122406200200"</f>
        <v>122406200200</v>
      </c>
      <c r="C209" t="s">
        <v>1251</v>
      </c>
      <c r="D209" t="s">
        <v>1252</v>
      </c>
      <c r="G209" t="s">
        <v>32</v>
      </c>
      <c r="H209" t="s">
        <v>65</v>
      </c>
      <c r="I209" t="s">
        <v>19</v>
      </c>
      <c r="J209" t="s">
        <v>20</v>
      </c>
      <c r="K209" t="s">
        <v>101</v>
      </c>
      <c r="L209" t="s">
        <v>22</v>
      </c>
      <c r="M209" s="1">
        <v>37431</v>
      </c>
      <c r="N209">
        <v>2002</v>
      </c>
    </row>
    <row r="210" spans="1:14">
      <c r="A210" t="s">
        <v>14</v>
      </c>
      <c r="B210" t="str">
        <f>"122412200200"</f>
        <v>122412200200</v>
      </c>
      <c r="C210" t="s">
        <v>2117</v>
      </c>
      <c r="D210" t="s">
        <v>205</v>
      </c>
      <c r="G210" t="s">
        <v>32</v>
      </c>
      <c r="H210" t="s">
        <v>65</v>
      </c>
      <c r="I210" t="s">
        <v>19</v>
      </c>
      <c r="J210" t="s">
        <v>20</v>
      </c>
      <c r="K210" t="s">
        <v>21</v>
      </c>
      <c r="M210" s="1">
        <v>37614</v>
      </c>
      <c r="N210">
        <v>2002</v>
      </c>
    </row>
    <row r="211" spans="1:14">
      <c r="A211" t="s">
        <v>14</v>
      </c>
      <c r="B211" t="str">
        <f>"122608200300"</f>
        <v>122608200300</v>
      </c>
      <c r="C211" t="s">
        <v>2288</v>
      </c>
      <c r="D211" t="s">
        <v>194</v>
      </c>
      <c r="G211" t="s">
        <v>32</v>
      </c>
      <c r="H211" t="s">
        <v>65</v>
      </c>
      <c r="I211" t="s">
        <v>19</v>
      </c>
      <c r="J211" t="s">
        <v>20</v>
      </c>
      <c r="K211" t="s">
        <v>979</v>
      </c>
      <c r="L211" t="s">
        <v>22</v>
      </c>
      <c r="M211" s="1">
        <v>37859</v>
      </c>
      <c r="N211">
        <v>2003</v>
      </c>
    </row>
    <row r="212" spans="1:14">
      <c r="A212" t="s">
        <v>14</v>
      </c>
      <c r="B212" t="str">
        <f>"120501200300"</f>
        <v>120501200300</v>
      </c>
      <c r="C212" t="s">
        <v>2420</v>
      </c>
      <c r="D212" t="s">
        <v>2421</v>
      </c>
      <c r="G212" t="s">
        <v>32</v>
      </c>
      <c r="H212" t="s">
        <v>65</v>
      </c>
      <c r="I212" t="s">
        <v>19</v>
      </c>
      <c r="J212" t="s">
        <v>20</v>
      </c>
      <c r="K212" t="s">
        <v>346</v>
      </c>
      <c r="L212" t="s">
        <v>22</v>
      </c>
      <c r="M212" s="1">
        <v>37626</v>
      </c>
      <c r="N212">
        <v>2003</v>
      </c>
    </row>
    <row r="213" spans="1:14">
      <c r="A213" t="s">
        <v>14</v>
      </c>
      <c r="B213" t="str">
        <f>"121102200300"</f>
        <v>121102200300</v>
      </c>
      <c r="C213" t="s">
        <v>2426</v>
      </c>
      <c r="D213" t="s">
        <v>238</v>
      </c>
      <c r="G213" t="s">
        <v>32</v>
      </c>
      <c r="H213" t="s">
        <v>65</v>
      </c>
      <c r="I213" t="s">
        <v>19</v>
      </c>
      <c r="J213" t="s">
        <v>20</v>
      </c>
      <c r="K213" t="s">
        <v>346</v>
      </c>
      <c r="L213" t="s">
        <v>22</v>
      </c>
      <c r="M213" s="1">
        <v>37663</v>
      </c>
      <c r="N213">
        <v>2003</v>
      </c>
    </row>
    <row r="214" spans="1:14">
      <c r="A214" t="s">
        <v>14</v>
      </c>
      <c r="B214" t="str">
        <f>"121507200200"</f>
        <v>121507200200</v>
      </c>
      <c r="C214" t="s">
        <v>2750</v>
      </c>
      <c r="D214" t="s">
        <v>127</v>
      </c>
      <c r="G214" t="s">
        <v>32</v>
      </c>
      <c r="H214" t="s">
        <v>65</v>
      </c>
      <c r="I214" t="s">
        <v>19</v>
      </c>
      <c r="J214" t="s">
        <v>20</v>
      </c>
      <c r="K214" t="s">
        <v>21</v>
      </c>
      <c r="M214" s="1">
        <v>37452</v>
      </c>
      <c r="N214">
        <v>2002</v>
      </c>
    </row>
    <row r="215" spans="1:14">
      <c r="A215" t="s">
        <v>14</v>
      </c>
      <c r="B215" t="str">
        <f>"122812199700"</f>
        <v>122812199700</v>
      </c>
      <c r="C215" t="s">
        <v>1188</v>
      </c>
      <c r="D215" t="s">
        <v>421</v>
      </c>
      <c r="G215" t="s">
        <v>32</v>
      </c>
      <c r="H215" t="s">
        <v>59</v>
      </c>
      <c r="I215" t="s">
        <v>19</v>
      </c>
      <c r="J215" t="s">
        <v>20</v>
      </c>
      <c r="K215" t="s">
        <v>21</v>
      </c>
      <c r="L215" t="s">
        <v>22</v>
      </c>
      <c r="M215" s="1">
        <v>35792</v>
      </c>
      <c r="N215">
        <v>1997</v>
      </c>
    </row>
    <row r="216" spans="1:14">
      <c r="A216" t="s">
        <v>14</v>
      </c>
      <c r="B216" t="str">
        <f>"121908199602"</f>
        <v>121908199602</v>
      </c>
      <c r="C216" t="s">
        <v>1512</v>
      </c>
      <c r="D216" t="s">
        <v>233</v>
      </c>
      <c r="G216" t="s">
        <v>32</v>
      </c>
      <c r="H216" t="s">
        <v>59</v>
      </c>
      <c r="I216" t="s">
        <v>19</v>
      </c>
      <c r="J216" t="s">
        <v>20</v>
      </c>
      <c r="K216" t="s">
        <v>21</v>
      </c>
      <c r="M216" s="1">
        <v>35296</v>
      </c>
      <c r="N216">
        <v>1996</v>
      </c>
    </row>
    <row r="217" spans="1:14">
      <c r="A217" t="s">
        <v>14</v>
      </c>
      <c r="B217" t="str">
        <f>"121106199500"</f>
        <v>121106199500</v>
      </c>
      <c r="C217" t="s">
        <v>2025</v>
      </c>
      <c r="D217" t="s">
        <v>611</v>
      </c>
      <c r="G217" t="s">
        <v>32</v>
      </c>
      <c r="H217" t="s">
        <v>59</v>
      </c>
      <c r="I217" t="s">
        <v>19</v>
      </c>
      <c r="J217" t="s">
        <v>20</v>
      </c>
      <c r="K217" t="s">
        <v>101</v>
      </c>
      <c r="L217" t="s">
        <v>48</v>
      </c>
      <c r="M217" s="1">
        <v>34861</v>
      </c>
      <c r="N217">
        <v>1995</v>
      </c>
    </row>
    <row r="218" spans="1:14">
      <c r="A218" t="s">
        <v>14</v>
      </c>
      <c r="B218" t="str">
        <f>"122011200000"</f>
        <v>122011200000</v>
      </c>
      <c r="C218" t="s">
        <v>646</v>
      </c>
      <c r="D218" t="s">
        <v>127</v>
      </c>
      <c r="G218" t="s">
        <v>32</v>
      </c>
      <c r="H218" t="s">
        <v>44</v>
      </c>
      <c r="I218" t="s">
        <v>19</v>
      </c>
      <c r="J218" t="s">
        <v>20</v>
      </c>
      <c r="K218" t="s">
        <v>101</v>
      </c>
      <c r="L218" t="s">
        <v>22</v>
      </c>
      <c r="M218" s="1">
        <v>36850</v>
      </c>
      <c r="N218">
        <v>2000</v>
      </c>
    </row>
    <row r="219" spans="1:14">
      <c r="A219" t="s">
        <v>14</v>
      </c>
      <c r="B219" t="str">
        <f>"120612199900"</f>
        <v>120612199900</v>
      </c>
      <c r="C219" t="s">
        <v>918</v>
      </c>
      <c r="D219" t="s">
        <v>380</v>
      </c>
      <c r="G219" t="s">
        <v>32</v>
      </c>
      <c r="H219" t="s">
        <v>44</v>
      </c>
      <c r="I219" t="s">
        <v>19</v>
      </c>
      <c r="J219" t="s">
        <v>20</v>
      </c>
      <c r="K219" t="s">
        <v>346</v>
      </c>
      <c r="M219" s="1">
        <v>36500</v>
      </c>
      <c r="N219">
        <v>1999</v>
      </c>
    </row>
    <row r="220" spans="1:14">
      <c r="A220" t="s">
        <v>14</v>
      </c>
      <c r="B220" t="str">
        <f>"121912200100"</f>
        <v>121912200100</v>
      </c>
      <c r="C220" t="s">
        <v>1186</v>
      </c>
      <c r="D220" t="s">
        <v>421</v>
      </c>
      <c r="G220" t="s">
        <v>32</v>
      </c>
      <c r="H220" t="s">
        <v>44</v>
      </c>
      <c r="I220" t="s">
        <v>19</v>
      </c>
      <c r="J220" t="s">
        <v>20</v>
      </c>
      <c r="K220" t="s">
        <v>101</v>
      </c>
      <c r="L220" t="s">
        <v>22</v>
      </c>
      <c r="M220" s="1">
        <v>37244</v>
      </c>
      <c r="N220">
        <v>2001</v>
      </c>
    </row>
    <row r="221" spans="1:14">
      <c r="A221" t="s">
        <v>14</v>
      </c>
      <c r="B221" t="str">
        <f>"123003200103"</f>
        <v>123003200103</v>
      </c>
      <c r="C221" t="s">
        <v>1397</v>
      </c>
      <c r="D221" t="s">
        <v>380</v>
      </c>
      <c r="G221" t="s">
        <v>32</v>
      </c>
      <c r="H221" t="s">
        <v>44</v>
      </c>
      <c r="I221" t="s">
        <v>19</v>
      </c>
      <c r="J221" t="s">
        <v>20</v>
      </c>
      <c r="K221" t="s">
        <v>21</v>
      </c>
      <c r="M221" s="1">
        <v>36980</v>
      </c>
      <c r="N221">
        <v>2001</v>
      </c>
    </row>
    <row r="222" spans="1:14">
      <c r="A222" t="s">
        <v>14</v>
      </c>
      <c r="B222" t="str">
        <f>"120201200000"</f>
        <v>120201200000</v>
      </c>
      <c r="C222" t="s">
        <v>1507</v>
      </c>
      <c r="D222" t="s">
        <v>127</v>
      </c>
      <c r="G222" t="s">
        <v>32</v>
      </c>
      <c r="H222" t="s">
        <v>44</v>
      </c>
      <c r="I222" t="s">
        <v>19</v>
      </c>
      <c r="J222" t="s">
        <v>20</v>
      </c>
      <c r="K222" t="s">
        <v>21</v>
      </c>
      <c r="L222" t="s">
        <v>22</v>
      </c>
      <c r="M222" s="1">
        <v>36527</v>
      </c>
      <c r="N222">
        <v>2000</v>
      </c>
    </row>
    <row r="223" spans="1:14">
      <c r="A223" t="s">
        <v>14</v>
      </c>
      <c r="B223" t="str">
        <f>"120707200000"</f>
        <v>120707200000</v>
      </c>
      <c r="C223" t="s">
        <v>1833</v>
      </c>
      <c r="D223" t="s">
        <v>234</v>
      </c>
      <c r="G223" t="s">
        <v>32</v>
      </c>
      <c r="H223" t="s">
        <v>44</v>
      </c>
      <c r="I223" t="s">
        <v>19</v>
      </c>
      <c r="J223" t="s">
        <v>20</v>
      </c>
      <c r="K223" t="s">
        <v>21</v>
      </c>
      <c r="L223" t="s">
        <v>22</v>
      </c>
      <c r="M223" s="1">
        <v>36714</v>
      </c>
      <c r="N223">
        <v>2000</v>
      </c>
    </row>
    <row r="224" spans="1:14">
      <c r="A224" t="s">
        <v>14</v>
      </c>
      <c r="B224" t="str">
        <f>"122211200100"</f>
        <v>122211200100</v>
      </c>
      <c r="C224" t="s">
        <v>1843</v>
      </c>
      <c r="D224" t="s">
        <v>184</v>
      </c>
      <c r="G224" t="s">
        <v>32</v>
      </c>
      <c r="H224" t="s">
        <v>44</v>
      </c>
      <c r="I224" t="s">
        <v>19</v>
      </c>
      <c r="J224" t="s">
        <v>20</v>
      </c>
      <c r="K224" t="s">
        <v>21</v>
      </c>
      <c r="L224" t="s">
        <v>63</v>
      </c>
      <c r="M224" s="1">
        <v>37217</v>
      </c>
      <c r="N224">
        <v>2001</v>
      </c>
    </row>
    <row r="225" spans="1:14">
      <c r="A225" t="s">
        <v>14</v>
      </c>
      <c r="B225" t="str">
        <f>"123110200001"</f>
        <v>123110200001</v>
      </c>
      <c r="C225" t="s">
        <v>1852</v>
      </c>
      <c r="D225" t="s">
        <v>127</v>
      </c>
      <c r="G225" t="s">
        <v>32</v>
      </c>
      <c r="H225" t="s">
        <v>44</v>
      </c>
      <c r="I225" t="s">
        <v>19</v>
      </c>
      <c r="J225" t="s">
        <v>20</v>
      </c>
      <c r="K225" t="s">
        <v>21</v>
      </c>
      <c r="L225" t="s">
        <v>22</v>
      </c>
      <c r="M225" s="1">
        <v>36830</v>
      </c>
      <c r="N225">
        <v>2000</v>
      </c>
    </row>
    <row r="226" spans="1:14">
      <c r="A226" t="s">
        <v>14</v>
      </c>
      <c r="B226" t="str">
        <f>"121005200000"</f>
        <v>121005200000</v>
      </c>
      <c r="C226" t="s">
        <v>1997</v>
      </c>
      <c r="D226" t="s">
        <v>510</v>
      </c>
      <c r="G226" t="s">
        <v>32</v>
      </c>
      <c r="H226" t="s">
        <v>44</v>
      </c>
      <c r="I226" t="s">
        <v>19</v>
      </c>
      <c r="J226" t="s">
        <v>20</v>
      </c>
      <c r="K226" t="s">
        <v>21</v>
      </c>
      <c r="L226" t="s">
        <v>22</v>
      </c>
      <c r="M226" s="1">
        <v>36656</v>
      </c>
      <c r="N226">
        <v>2000</v>
      </c>
    </row>
    <row r="227" spans="1:14">
      <c r="A227" t="s">
        <v>14</v>
      </c>
      <c r="B227" t="str">
        <f>"121808200100"</f>
        <v>121808200100</v>
      </c>
      <c r="C227" t="s">
        <v>2153</v>
      </c>
      <c r="D227" t="s">
        <v>127</v>
      </c>
      <c r="G227" t="s">
        <v>32</v>
      </c>
      <c r="H227" t="s">
        <v>44</v>
      </c>
      <c r="I227" t="s">
        <v>19</v>
      </c>
      <c r="J227" t="s">
        <v>20</v>
      </c>
      <c r="K227" t="s">
        <v>346</v>
      </c>
      <c r="L227" t="s">
        <v>63</v>
      </c>
      <c r="M227" s="1">
        <v>37121</v>
      </c>
      <c r="N227">
        <v>2001</v>
      </c>
    </row>
    <row r="228" spans="1:14">
      <c r="A228" t="s">
        <v>14</v>
      </c>
      <c r="B228" t="str">
        <f>"120105200000"</f>
        <v>120105200000</v>
      </c>
      <c r="C228" t="s">
        <v>2202</v>
      </c>
      <c r="D228" t="s">
        <v>127</v>
      </c>
      <c r="G228" t="s">
        <v>32</v>
      </c>
      <c r="H228" t="s">
        <v>44</v>
      </c>
      <c r="I228" t="s">
        <v>19</v>
      </c>
      <c r="J228" t="s">
        <v>20</v>
      </c>
      <c r="K228" t="s">
        <v>101</v>
      </c>
      <c r="L228" t="s">
        <v>22</v>
      </c>
      <c r="M228" s="1">
        <v>36647</v>
      </c>
      <c r="N228">
        <v>2000</v>
      </c>
    </row>
    <row r="229" spans="1:14">
      <c r="A229" t="s">
        <v>14</v>
      </c>
      <c r="B229" t="str">
        <f>"122410200100"</f>
        <v>122410200100</v>
      </c>
      <c r="C229" t="s">
        <v>2297</v>
      </c>
      <c r="D229" t="s">
        <v>203</v>
      </c>
      <c r="G229" t="s">
        <v>32</v>
      </c>
      <c r="H229" t="s">
        <v>44</v>
      </c>
      <c r="I229" t="s">
        <v>19</v>
      </c>
      <c r="J229" t="s">
        <v>20</v>
      </c>
      <c r="K229" t="s">
        <v>101</v>
      </c>
      <c r="L229" t="s">
        <v>22</v>
      </c>
      <c r="M229" s="1">
        <v>37188</v>
      </c>
      <c r="N229">
        <v>2001</v>
      </c>
    </row>
    <row r="230" spans="1:14">
      <c r="A230" t="s">
        <v>14</v>
      </c>
      <c r="B230" t="str">
        <f>"123012200100"</f>
        <v>123012200100</v>
      </c>
      <c r="C230" t="s">
        <v>2359</v>
      </c>
      <c r="D230" t="s">
        <v>127</v>
      </c>
      <c r="G230" t="s">
        <v>32</v>
      </c>
      <c r="H230" t="s">
        <v>44</v>
      </c>
      <c r="I230" t="s">
        <v>19</v>
      </c>
      <c r="J230" t="s">
        <v>20</v>
      </c>
      <c r="K230" t="s">
        <v>21</v>
      </c>
      <c r="L230" t="s">
        <v>22</v>
      </c>
      <c r="M230" s="1">
        <v>37255</v>
      </c>
      <c r="N230">
        <v>2001</v>
      </c>
    </row>
    <row r="231" spans="1:14">
      <c r="A231" t="s">
        <v>14</v>
      </c>
      <c r="B231" t="str">
        <f>"122510200000"</f>
        <v>122510200000</v>
      </c>
      <c r="C231" t="s">
        <v>2720</v>
      </c>
      <c r="D231" t="s">
        <v>58</v>
      </c>
      <c r="G231" t="s">
        <v>32</v>
      </c>
      <c r="H231" t="s">
        <v>44</v>
      </c>
      <c r="I231" t="s">
        <v>19</v>
      </c>
      <c r="J231" t="s">
        <v>20</v>
      </c>
      <c r="K231" t="s">
        <v>101</v>
      </c>
      <c r="L231" t="s">
        <v>22</v>
      </c>
      <c r="M231" s="1">
        <v>36824</v>
      </c>
      <c r="N231">
        <v>2000</v>
      </c>
    </row>
    <row r="232" spans="1:14">
      <c r="A232" t="s">
        <v>14</v>
      </c>
      <c r="B232" t="str">
        <f>"122211200104"</f>
        <v>122211200104</v>
      </c>
      <c r="C232" t="s">
        <v>2770</v>
      </c>
      <c r="D232" t="s">
        <v>58</v>
      </c>
      <c r="G232" t="s">
        <v>32</v>
      </c>
      <c r="H232" t="s">
        <v>44</v>
      </c>
      <c r="I232" t="s">
        <v>19</v>
      </c>
      <c r="J232" t="s">
        <v>20</v>
      </c>
      <c r="K232" t="s">
        <v>21</v>
      </c>
      <c r="M232" s="1">
        <v>37217</v>
      </c>
      <c r="N232">
        <v>2001</v>
      </c>
    </row>
    <row r="233" spans="1:14">
      <c r="A233" t="s">
        <v>14</v>
      </c>
      <c r="B233" t="str">
        <f>"110504199600"</f>
        <v>110504199600</v>
      </c>
      <c r="C233" t="s">
        <v>399</v>
      </c>
      <c r="D233" t="s">
        <v>268</v>
      </c>
      <c r="G233" t="s">
        <v>17</v>
      </c>
      <c r="H233" t="s">
        <v>25</v>
      </c>
      <c r="I233" t="s">
        <v>19</v>
      </c>
      <c r="J233" t="s">
        <v>20</v>
      </c>
      <c r="K233" t="s">
        <v>21</v>
      </c>
      <c r="L233" t="s">
        <v>22</v>
      </c>
      <c r="M233" s="1">
        <v>35160</v>
      </c>
      <c r="N233">
        <v>1996</v>
      </c>
    </row>
    <row r="234" spans="1:14">
      <c r="A234" t="s">
        <v>14</v>
      </c>
      <c r="B234" t="str">
        <f>"112007199701"</f>
        <v>112007199701</v>
      </c>
      <c r="C234" t="s">
        <v>504</v>
      </c>
      <c r="D234" t="s">
        <v>155</v>
      </c>
      <c r="G234" t="s">
        <v>17</v>
      </c>
      <c r="H234" t="s">
        <v>25</v>
      </c>
      <c r="I234" t="s">
        <v>19</v>
      </c>
      <c r="J234" t="s">
        <v>20</v>
      </c>
      <c r="K234" t="s">
        <v>21</v>
      </c>
      <c r="M234" s="1">
        <v>35631</v>
      </c>
      <c r="N234">
        <v>1997</v>
      </c>
    </row>
    <row r="235" spans="1:14">
      <c r="A235" t="s">
        <v>14</v>
      </c>
      <c r="B235" t="str">
        <f>"112209199200"</f>
        <v>112209199200</v>
      </c>
      <c r="C235" t="s">
        <v>1340</v>
      </c>
      <c r="D235" t="s">
        <v>24</v>
      </c>
      <c r="G235" t="s">
        <v>17</v>
      </c>
      <c r="H235" t="s">
        <v>25</v>
      </c>
      <c r="I235" t="s">
        <v>19</v>
      </c>
      <c r="J235" t="s">
        <v>20</v>
      </c>
      <c r="K235" t="s">
        <v>101</v>
      </c>
      <c r="L235" t="s">
        <v>48</v>
      </c>
      <c r="M235" s="1">
        <v>33869</v>
      </c>
      <c r="N235">
        <v>1992</v>
      </c>
    </row>
    <row r="236" spans="1:14">
      <c r="A236" t="s">
        <v>14</v>
      </c>
      <c r="B236" t="str">
        <f>"111103198900"</f>
        <v>111103198900</v>
      </c>
      <c r="C236" t="s">
        <v>2051</v>
      </c>
      <c r="D236" t="s">
        <v>657</v>
      </c>
      <c r="G236" t="s">
        <v>17</v>
      </c>
      <c r="H236" t="s">
        <v>25</v>
      </c>
      <c r="I236" t="s">
        <v>19</v>
      </c>
      <c r="J236" t="s">
        <v>20</v>
      </c>
      <c r="K236" t="s">
        <v>21</v>
      </c>
      <c r="L236" t="s">
        <v>48</v>
      </c>
      <c r="M236" s="1">
        <v>32578</v>
      </c>
      <c r="N236">
        <v>1989</v>
      </c>
    </row>
    <row r="237" spans="1:14">
      <c r="A237" t="s">
        <v>14</v>
      </c>
      <c r="B237" t="str">
        <f>"111502199201"</f>
        <v>111502199201</v>
      </c>
      <c r="C237" t="s">
        <v>2341</v>
      </c>
      <c r="D237" t="s">
        <v>221</v>
      </c>
      <c r="G237" t="s">
        <v>17</v>
      </c>
      <c r="H237" t="s">
        <v>25</v>
      </c>
      <c r="I237" t="s">
        <v>19</v>
      </c>
      <c r="J237" t="s">
        <v>20</v>
      </c>
      <c r="K237" t="s">
        <v>101</v>
      </c>
      <c r="L237" t="s">
        <v>48</v>
      </c>
      <c r="M237" s="1">
        <v>33649</v>
      </c>
      <c r="N237">
        <v>1992</v>
      </c>
    </row>
    <row r="238" spans="1:14">
      <c r="A238" t="s">
        <v>14</v>
      </c>
      <c r="B238" t="str">
        <f>"111703200000"</f>
        <v>111703200000</v>
      </c>
      <c r="C238" t="s">
        <v>15</v>
      </c>
      <c r="D238" t="s">
        <v>16</v>
      </c>
      <c r="G238" t="s">
        <v>17</v>
      </c>
      <c r="H238" t="s">
        <v>18</v>
      </c>
      <c r="I238" t="s">
        <v>19</v>
      </c>
      <c r="J238" t="s">
        <v>20</v>
      </c>
      <c r="K238" t="s">
        <v>21</v>
      </c>
      <c r="L238" t="s">
        <v>22</v>
      </c>
      <c r="M238" s="1">
        <v>36602</v>
      </c>
      <c r="N238">
        <v>2000</v>
      </c>
    </row>
    <row r="239" spans="1:14">
      <c r="A239" t="s">
        <v>14</v>
      </c>
      <c r="B239" t="str">
        <f>"111406200000"</f>
        <v>111406200000</v>
      </c>
      <c r="C239" t="s">
        <v>99</v>
      </c>
      <c r="D239" t="s">
        <v>100</v>
      </c>
      <c r="G239" t="s">
        <v>17</v>
      </c>
      <c r="H239" t="s">
        <v>18</v>
      </c>
      <c r="I239" t="s">
        <v>19</v>
      </c>
      <c r="J239" t="s">
        <v>20</v>
      </c>
      <c r="K239" t="s">
        <v>101</v>
      </c>
      <c r="L239" t="s">
        <v>22</v>
      </c>
      <c r="M239" s="1">
        <v>36691</v>
      </c>
      <c r="N239">
        <v>2000</v>
      </c>
    </row>
    <row r="240" spans="1:14">
      <c r="A240" t="s">
        <v>14</v>
      </c>
      <c r="B240" t="str">
        <f>"112401200102"</f>
        <v>112401200102</v>
      </c>
      <c r="C240" t="s">
        <v>726</v>
      </c>
      <c r="D240" t="s">
        <v>373</v>
      </c>
      <c r="G240" t="s">
        <v>17</v>
      </c>
      <c r="H240" t="s">
        <v>18</v>
      </c>
      <c r="I240" t="s">
        <v>19</v>
      </c>
      <c r="J240" t="s">
        <v>20</v>
      </c>
      <c r="K240" t="s">
        <v>21</v>
      </c>
      <c r="M240" s="1">
        <v>36915</v>
      </c>
      <c r="N240">
        <v>2001</v>
      </c>
    </row>
    <row r="241" spans="1:14">
      <c r="A241" t="s">
        <v>14</v>
      </c>
      <c r="B241" t="str">
        <f>"112504200101"</f>
        <v>112504200101</v>
      </c>
      <c r="C241" t="s">
        <v>809</v>
      </c>
      <c r="D241" t="s">
        <v>16</v>
      </c>
      <c r="G241" t="s">
        <v>17</v>
      </c>
      <c r="H241" t="s">
        <v>18</v>
      </c>
      <c r="I241" t="s">
        <v>19</v>
      </c>
      <c r="J241" t="s">
        <v>20</v>
      </c>
      <c r="K241" t="s">
        <v>101</v>
      </c>
      <c r="L241" t="s">
        <v>22</v>
      </c>
      <c r="M241" s="1">
        <v>37006</v>
      </c>
      <c r="N241">
        <v>2001</v>
      </c>
    </row>
    <row r="242" spans="1:14">
      <c r="A242" t="s">
        <v>14</v>
      </c>
      <c r="B242" t="str">
        <f>"110612199900"</f>
        <v>110612199900</v>
      </c>
      <c r="C242" t="s">
        <v>916</v>
      </c>
      <c r="D242" t="s">
        <v>917</v>
      </c>
      <c r="G242" t="s">
        <v>17</v>
      </c>
      <c r="H242" t="s">
        <v>18</v>
      </c>
      <c r="I242" t="s">
        <v>19</v>
      </c>
      <c r="J242" t="s">
        <v>20</v>
      </c>
      <c r="K242" t="s">
        <v>21</v>
      </c>
      <c r="L242" t="s">
        <v>63</v>
      </c>
      <c r="M242" s="1">
        <v>36500</v>
      </c>
      <c r="N242">
        <v>1999</v>
      </c>
    </row>
    <row r="243" spans="1:14">
      <c r="A243" t="s">
        <v>14</v>
      </c>
      <c r="B243" t="str">
        <f>"111012200100"</f>
        <v>111012200100</v>
      </c>
      <c r="C243" t="s">
        <v>1576</v>
      </c>
      <c r="D243" t="s">
        <v>98</v>
      </c>
      <c r="G243" t="s">
        <v>17</v>
      </c>
      <c r="H243" t="s">
        <v>18</v>
      </c>
      <c r="I243" t="s">
        <v>19</v>
      </c>
      <c r="J243" t="s">
        <v>20</v>
      </c>
      <c r="K243" t="s">
        <v>21</v>
      </c>
      <c r="L243" t="s">
        <v>22</v>
      </c>
      <c r="M243" s="1">
        <v>37235</v>
      </c>
      <c r="N243">
        <v>2001</v>
      </c>
    </row>
    <row r="244" spans="1:14">
      <c r="A244" t="s">
        <v>14</v>
      </c>
      <c r="B244" t="str">
        <f>"110412200002"</f>
        <v>110412200002</v>
      </c>
      <c r="C244" t="s">
        <v>1615</v>
      </c>
      <c r="D244" t="s">
        <v>1616</v>
      </c>
      <c r="G244" t="s">
        <v>17</v>
      </c>
      <c r="H244" t="s">
        <v>18</v>
      </c>
      <c r="I244" t="s">
        <v>19</v>
      </c>
      <c r="J244" t="s">
        <v>20</v>
      </c>
      <c r="K244" t="s">
        <v>21</v>
      </c>
      <c r="M244" s="1">
        <v>36864</v>
      </c>
      <c r="N244">
        <v>2000</v>
      </c>
    </row>
    <row r="245" spans="1:14">
      <c r="A245" t="s">
        <v>14</v>
      </c>
      <c r="B245" t="str">
        <f>"112107200001"</f>
        <v>112107200001</v>
      </c>
      <c r="C245" t="s">
        <v>1620</v>
      </c>
      <c r="D245" t="s">
        <v>24</v>
      </c>
      <c r="G245" t="s">
        <v>17</v>
      </c>
      <c r="H245" t="s">
        <v>18</v>
      </c>
      <c r="I245" t="s">
        <v>19</v>
      </c>
      <c r="J245" t="s">
        <v>20</v>
      </c>
      <c r="K245" t="s">
        <v>101</v>
      </c>
      <c r="L245" t="s">
        <v>22</v>
      </c>
      <c r="M245" s="1">
        <v>36728</v>
      </c>
      <c r="N245">
        <v>2000</v>
      </c>
    </row>
    <row r="246" spans="1:14">
      <c r="A246" t="s">
        <v>14</v>
      </c>
      <c r="B246" t="str">
        <f>"112410200101"</f>
        <v>112410200101</v>
      </c>
      <c r="C246" t="s">
        <v>1626</v>
      </c>
      <c r="D246" t="s">
        <v>50</v>
      </c>
      <c r="G246" t="s">
        <v>17</v>
      </c>
      <c r="H246" t="s">
        <v>18</v>
      </c>
      <c r="I246" t="s">
        <v>19</v>
      </c>
      <c r="J246" t="s">
        <v>20</v>
      </c>
      <c r="K246" t="s">
        <v>21</v>
      </c>
      <c r="M246" s="1">
        <v>37188</v>
      </c>
      <c r="N246">
        <v>2001</v>
      </c>
    </row>
    <row r="247" spans="1:14">
      <c r="A247" t="s">
        <v>14</v>
      </c>
      <c r="B247" t="str">
        <f>"113003200002"</f>
        <v>113003200002</v>
      </c>
      <c r="C247" t="s">
        <v>1936</v>
      </c>
      <c r="D247" t="s">
        <v>115</v>
      </c>
      <c r="G247" t="s">
        <v>17</v>
      </c>
      <c r="H247" t="s">
        <v>18</v>
      </c>
      <c r="I247" t="s">
        <v>19</v>
      </c>
      <c r="J247" t="s">
        <v>20</v>
      </c>
      <c r="K247" t="s">
        <v>21</v>
      </c>
      <c r="L247" t="s">
        <v>22</v>
      </c>
      <c r="M247" s="1">
        <v>36615</v>
      </c>
      <c r="N247">
        <v>2000</v>
      </c>
    </row>
    <row r="248" spans="1:14">
      <c r="A248" t="s">
        <v>14</v>
      </c>
      <c r="B248" t="str">
        <f>"111901199902"</f>
        <v>111901199902</v>
      </c>
      <c r="C248" t="s">
        <v>2040</v>
      </c>
      <c r="D248" t="s">
        <v>89</v>
      </c>
      <c r="G248" t="s">
        <v>17</v>
      </c>
      <c r="H248" t="s">
        <v>18</v>
      </c>
      <c r="I248" t="s">
        <v>19</v>
      </c>
      <c r="J248" t="s">
        <v>20</v>
      </c>
      <c r="K248" t="s">
        <v>21</v>
      </c>
      <c r="L248" t="s">
        <v>22</v>
      </c>
      <c r="M248" s="1">
        <v>36179</v>
      </c>
      <c r="N248">
        <v>1999</v>
      </c>
    </row>
    <row r="249" spans="1:14">
      <c r="A249" t="s">
        <v>14</v>
      </c>
      <c r="B249" t="str">
        <f>"111509200100"</f>
        <v>111509200100</v>
      </c>
      <c r="C249" t="s">
        <v>2197</v>
      </c>
      <c r="D249" t="s">
        <v>16</v>
      </c>
      <c r="G249" t="s">
        <v>17</v>
      </c>
      <c r="H249" t="s">
        <v>18</v>
      </c>
      <c r="I249" t="s">
        <v>19</v>
      </c>
      <c r="J249" t="s">
        <v>20</v>
      </c>
      <c r="K249" t="s">
        <v>101</v>
      </c>
      <c r="L249" t="s">
        <v>22</v>
      </c>
      <c r="M249" s="1">
        <v>37149</v>
      </c>
      <c r="N249">
        <v>2001</v>
      </c>
    </row>
    <row r="250" spans="1:14">
      <c r="A250" t="s">
        <v>14</v>
      </c>
      <c r="B250" t="str">
        <f>"110111200100"</f>
        <v>110111200100</v>
      </c>
      <c r="C250" t="s">
        <v>2300</v>
      </c>
      <c r="D250" t="s">
        <v>289</v>
      </c>
      <c r="G250" t="s">
        <v>17</v>
      </c>
      <c r="H250" t="s">
        <v>18</v>
      </c>
      <c r="I250" t="s">
        <v>19</v>
      </c>
      <c r="J250" t="s">
        <v>20</v>
      </c>
      <c r="K250" t="s">
        <v>101</v>
      </c>
      <c r="L250" t="s">
        <v>22</v>
      </c>
      <c r="M250" s="1">
        <v>37196</v>
      </c>
      <c r="N250">
        <v>2001</v>
      </c>
    </row>
    <row r="251" spans="1:14">
      <c r="A251" t="s">
        <v>14</v>
      </c>
      <c r="B251" t="str">
        <f>"111810200102"</f>
        <v>111810200102</v>
      </c>
      <c r="C251" t="s">
        <v>2405</v>
      </c>
      <c r="D251" t="s">
        <v>53</v>
      </c>
      <c r="G251" t="s">
        <v>17</v>
      </c>
      <c r="H251" t="s">
        <v>18</v>
      </c>
      <c r="I251" t="s">
        <v>19</v>
      </c>
      <c r="J251" t="s">
        <v>20</v>
      </c>
      <c r="K251" t="s">
        <v>101</v>
      </c>
      <c r="L251" t="s">
        <v>22</v>
      </c>
      <c r="M251" s="1">
        <v>37182</v>
      </c>
      <c r="N251">
        <v>2001</v>
      </c>
    </row>
    <row r="252" spans="1:14">
      <c r="A252" t="s">
        <v>14</v>
      </c>
      <c r="B252" t="str">
        <f>"112809200000"</f>
        <v>112809200000</v>
      </c>
      <c r="C252" t="s">
        <v>2416</v>
      </c>
      <c r="D252" t="s">
        <v>782</v>
      </c>
      <c r="G252" t="s">
        <v>17</v>
      </c>
      <c r="H252" t="s">
        <v>18</v>
      </c>
      <c r="I252" t="s">
        <v>19</v>
      </c>
      <c r="J252" t="s">
        <v>20</v>
      </c>
      <c r="K252" t="s">
        <v>101</v>
      </c>
      <c r="L252" t="s">
        <v>22</v>
      </c>
      <c r="M252" s="1">
        <v>36797</v>
      </c>
      <c r="N252">
        <v>2000</v>
      </c>
    </row>
    <row r="253" spans="1:14">
      <c r="A253" t="s">
        <v>14</v>
      </c>
      <c r="B253" t="str">
        <f>"112107200002"</f>
        <v>112107200002</v>
      </c>
      <c r="C253" t="s">
        <v>2648</v>
      </c>
      <c r="D253" t="s">
        <v>209</v>
      </c>
      <c r="G253" t="s">
        <v>17</v>
      </c>
      <c r="H253" t="s">
        <v>18</v>
      </c>
      <c r="I253" t="s">
        <v>19</v>
      </c>
      <c r="J253" t="s">
        <v>20</v>
      </c>
      <c r="K253" t="s">
        <v>101</v>
      </c>
      <c r="L253" t="s">
        <v>22</v>
      </c>
      <c r="M253" s="1">
        <v>36728</v>
      </c>
      <c r="N253">
        <v>2000</v>
      </c>
    </row>
    <row r="254" spans="1:14">
      <c r="A254" t="s">
        <v>14</v>
      </c>
      <c r="B254" t="str">
        <f>"113110199900"</f>
        <v>113110199900</v>
      </c>
      <c r="C254" t="s">
        <v>2812</v>
      </c>
      <c r="D254" t="s">
        <v>209</v>
      </c>
      <c r="G254" t="s">
        <v>17</v>
      </c>
      <c r="H254" t="s">
        <v>18</v>
      </c>
      <c r="I254" t="s">
        <v>19</v>
      </c>
      <c r="J254" t="s">
        <v>20</v>
      </c>
      <c r="K254" t="s">
        <v>21</v>
      </c>
      <c r="L254" t="s">
        <v>63</v>
      </c>
      <c r="M254" s="1">
        <v>36464</v>
      </c>
      <c r="N254">
        <v>1999</v>
      </c>
    </row>
    <row r="255" spans="1:14">
      <c r="A255" t="s">
        <v>14</v>
      </c>
      <c r="B255" t="str">
        <f>"112312200000"</f>
        <v>112312200000</v>
      </c>
      <c r="C255" t="s">
        <v>2892</v>
      </c>
      <c r="D255" t="s">
        <v>120</v>
      </c>
      <c r="G255" t="s">
        <v>17</v>
      </c>
      <c r="H255" t="s">
        <v>18</v>
      </c>
      <c r="I255" t="s">
        <v>19</v>
      </c>
      <c r="J255" t="s">
        <v>20</v>
      </c>
      <c r="K255" t="s">
        <v>101</v>
      </c>
      <c r="L255" t="s">
        <v>22</v>
      </c>
      <c r="M255" s="1">
        <v>36883</v>
      </c>
      <c r="N255">
        <v>2000</v>
      </c>
    </row>
    <row r="256" spans="1:14">
      <c r="A256" t="s">
        <v>14</v>
      </c>
      <c r="B256" t="str">
        <f>"110801200500"</f>
        <v>110801200500</v>
      </c>
      <c r="C256" t="s">
        <v>1510</v>
      </c>
      <c r="D256" t="s">
        <v>53</v>
      </c>
      <c r="G256" t="s">
        <v>17</v>
      </c>
      <c r="H256" t="s">
        <v>39</v>
      </c>
      <c r="I256" t="s">
        <v>19</v>
      </c>
      <c r="J256" t="s">
        <v>20</v>
      </c>
      <c r="K256" t="s">
        <v>346</v>
      </c>
      <c r="L256" t="s">
        <v>22</v>
      </c>
      <c r="M256" s="1">
        <v>38360</v>
      </c>
      <c r="N256">
        <v>2005</v>
      </c>
    </row>
    <row r="257" spans="1:14">
      <c r="A257" t="s">
        <v>14</v>
      </c>
      <c r="B257" t="str">
        <f>"110107200402"</f>
        <v>110107200402</v>
      </c>
      <c r="C257" t="s">
        <v>1946</v>
      </c>
      <c r="D257" t="s">
        <v>129</v>
      </c>
      <c r="G257" t="s">
        <v>17</v>
      </c>
      <c r="H257" t="s">
        <v>39</v>
      </c>
      <c r="I257" t="s">
        <v>19</v>
      </c>
      <c r="J257" t="s">
        <v>20</v>
      </c>
      <c r="K257" t="s">
        <v>346</v>
      </c>
      <c r="L257" t="s">
        <v>22</v>
      </c>
      <c r="M257" s="1">
        <v>38169</v>
      </c>
      <c r="N257">
        <v>2004</v>
      </c>
    </row>
    <row r="258" spans="1:14">
      <c r="A258" t="s">
        <v>14</v>
      </c>
      <c r="B258" t="str">
        <f>"112203200401"</f>
        <v>112203200401</v>
      </c>
      <c r="C258" t="s">
        <v>2430</v>
      </c>
      <c r="D258" t="s">
        <v>53</v>
      </c>
      <c r="G258" t="s">
        <v>17</v>
      </c>
      <c r="H258" t="s">
        <v>39</v>
      </c>
      <c r="I258" t="s">
        <v>19</v>
      </c>
      <c r="J258" t="s">
        <v>20</v>
      </c>
      <c r="K258" t="s">
        <v>979</v>
      </c>
      <c r="L258" t="s">
        <v>22</v>
      </c>
      <c r="M258" s="1">
        <v>38068</v>
      </c>
      <c r="N258">
        <v>2004</v>
      </c>
    </row>
    <row r="259" spans="1:14">
      <c r="A259" t="s">
        <v>14</v>
      </c>
      <c r="B259" t="str">
        <f>"112311200401"</f>
        <v>112311200401</v>
      </c>
      <c r="C259" t="s">
        <v>2637</v>
      </c>
      <c r="D259" t="s">
        <v>534</v>
      </c>
      <c r="G259" t="s">
        <v>17</v>
      </c>
      <c r="H259" t="s">
        <v>39</v>
      </c>
      <c r="I259" t="s">
        <v>19</v>
      </c>
      <c r="J259" t="s">
        <v>20</v>
      </c>
      <c r="K259" t="s">
        <v>346</v>
      </c>
      <c r="L259" t="s">
        <v>22</v>
      </c>
      <c r="M259" s="1">
        <v>38314</v>
      </c>
      <c r="N259">
        <v>2004</v>
      </c>
    </row>
    <row r="260" spans="1:14">
      <c r="A260" t="s">
        <v>14</v>
      </c>
      <c r="B260" t="str">
        <f>"112401200201"</f>
        <v>112401200201</v>
      </c>
      <c r="C260" t="s">
        <v>97</v>
      </c>
      <c r="D260" t="s">
        <v>98</v>
      </c>
      <c r="G260" t="s">
        <v>17</v>
      </c>
      <c r="H260" t="s">
        <v>51</v>
      </c>
      <c r="I260" t="s">
        <v>19</v>
      </c>
      <c r="J260" t="s">
        <v>20</v>
      </c>
      <c r="K260" t="s">
        <v>21</v>
      </c>
      <c r="L260" t="s">
        <v>22</v>
      </c>
      <c r="M260" s="1">
        <v>37280</v>
      </c>
      <c r="N260">
        <v>2002</v>
      </c>
    </row>
    <row r="261" spans="1:14">
      <c r="A261" t="s">
        <v>14</v>
      </c>
      <c r="B261" t="str">
        <f>"110105200301"</f>
        <v>110105200301</v>
      </c>
      <c r="C261" t="s">
        <v>391</v>
      </c>
      <c r="D261" t="s">
        <v>392</v>
      </c>
      <c r="G261" t="s">
        <v>17</v>
      </c>
      <c r="H261" t="s">
        <v>51</v>
      </c>
      <c r="I261" t="s">
        <v>19</v>
      </c>
      <c r="J261" t="s">
        <v>20</v>
      </c>
      <c r="K261" t="s">
        <v>21</v>
      </c>
      <c r="L261" t="s">
        <v>22</v>
      </c>
      <c r="M261" s="1">
        <v>37742</v>
      </c>
      <c r="N261">
        <v>2003</v>
      </c>
    </row>
    <row r="262" spans="1:14">
      <c r="A262" t="s">
        <v>14</v>
      </c>
      <c r="B262" t="str">
        <f>"112503200203"</f>
        <v>112503200203</v>
      </c>
      <c r="C262" t="s">
        <v>533</v>
      </c>
      <c r="D262" t="s">
        <v>535</v>
      </c>
      <c r="G262" t="s">
        <v>17</v>
      </c>
      <c r="H262" t="s">
        <v>51</v>
      </c>
      <c r="I262" t="s">
        <v>19</v>
      </c>
      <c r="J262" t="s">
        <v>20</v>
      </c>
      <c r="K262" t="s">
        <v>21</v>
      </c>
      <c r="M262" s="1">
        <v>37340</v>
      </c>
      <c r="N262">
        <v>2002</v>
      </c>
    </row>
    <row r="263" spans="1:14">
      <c r="A263" t="s">
        <v>14</v>
      </c>
      <c r="B263" t="str">
        <f>"112003200300"</f>
        <v>112003200300</v>
      </c>
      <c r="C263" t="s">
        <v>544</v>
      </c>
      <c r="D263" t="s">
        <v>50</v>
      </c>
      <c r="G263" t="s">
        <v>17</v>
      </c>
      <c r="H263" t="s">
        <v>51</v>
      </c>
      <c r="I263" t="s">
        <v>19</v>
      </c>
      <c r="J263" t="s">
        <v>20</v>
      </c>
      <c r="K263" t="s">
        <v>21</v>
      </c>
      <c r="L263" t="s">
        <v>22</v>
      </c>
      <c r="M263" s="1">
        <v>37700</v>
      </c>
      <c r="N263">
        <v>2003</v>
      </c>
    </row>
    <row r="264" spans="1:14">
      <c r="A264" t="s">
        <v>14</v>
      </c>
      <c r="B264" t="str">
        <f>"111703200202"</f>
        <v>111703200202</v>
      </c>
      <c r="C264" t="s">
        <v>578</v>
      </c>
      <c r="D264" t="s">
        <v>579</v>
      </c>
      <c r="G264" t="s">
        <v>17</v>
      </c>
      <c r="H264" t="s">
        <v>51</v>
      </c>
      <c r="I264" t="s">
        <v>19</v>
      </c>
      <c r="J264" t="s">
        <v>20</v>
      </c>
      <c r="K264" t="s">
        <v>21</v>
      </c>
      <c r="M264" s="1">
        <v>37332</v>
      </c>
      <c r="N264">
        <v>2002</v>
      </c>
    </row>
    <row r="265" spans="1:14">
      <c r="A265" t="s">
        <v>14</v>
      </c>
      <c r="B265" t="str">
        <f>"112505200200"</f>
        <v>112505200200</v>
      </c>
      <c r="C265" t="s">
        <v>1128</v>
      </c>
      <c r="D265" t="s">
        <v>693</v>
      </c>
      <c r="G265" t="s">
        <v>17</v>
      </c>
      <c r="H265" t="s">
        <v>51</v>
      </c>
      <c r="I265" t="s">
        <v>19</v>
      </c>
      <c r="J265" t="s">
        <v>20</v>
      </c>
      <c r="K265" t="s">
        <v>101</v>
      </c>
      <c r="L265" t="s">
        <v>22</v>
      </c>
      <c r="M265" s="1">
        <v>37401</v>
      </c>
      <c r="N265">
        <v>2002</v>
      </c>
    </row>
    <row r="266" spans="1:14">
      <c r="A266" t="s">
        <v>14</v>
      </c>
      <c r="B266" t="str">
        <f>"110509200202"</f>
        <v>110509200202</v>
      </c>
      <c r="C266" t="s">
        <v>1166</v>
      </c>
      <c r="D266" t="s">
        <v>531</v>
      </c>
      <c r="G266" t="s">
        <v>17</v>
      </c>
      <c r="H266" t="s">
        <v>51</v>
      </c>
      <c r="I266" t="s">
        <v>19</v>
      </c>
      <c r="J266" t="s">
        <v>20</v>
      </c>
      <c r="K266" t="s">
        <v>21</v>
      </c>
      <c r="M266" s="1">
        <v>37504</v>
      </c>
      <c r="N266">
        <v>2002</v>
      </c>
    </row>
    <row r="267" spans="1:14">
      <c r="A267" t="s">
        <v>14</v>
      </c>
      <c r="B267" t="str">
        <f>"112110200303"</f>
        <v>112110200303</v>
      </c>
      <c r="C267" t="s">
        <v>1329</v>
      </c>
      <c r="D267" t="s">
        <v>209</v>
      </c>
      <c r="G267" t="s">
        <v>17</v>
      </c>
      <c r="H267" t="s">
        <v>51</v>
      </c>
      <c r="I267" t="s">
        <v>19</v>
      </c>
      <c r="J267" t="s">
        <v>20</v>
      </c>
      <c r="K267" t="s">
        <v>979</v>
      </c>
      <c r="L267" t="s">
        <v>22</v>
      </c>
      <c r="M267" s="1">
        <v>37915</v>
      </c>
      <c r="N267">
        <v>2003</v>
      </c>
    </row>
    <row r="268" spans="1:14">
      <c r="A268" t="s">
        <v>14</v>
      </c>
      <c r="B268" t="str">
        <f>"112606200201"</f>
        <v>112606200201</v>
      </c>
      <c r="C268" t="s">
        <v>1415</v>
      </c>
      <c r="D268" t="s">
        <v>209</v>
      </c>
      <c r="G268" t="s">
        <v>17</v>
      </c>
      <c r="H268" t="s">
        <v>51</v>
      </c>
      <c r="I268" t="s">
        <v>19</v>
      </c>
      <c r="J268" t="s">
        <v>20</v>
      </c>
      <c r="K268" t="s">
        <v>21</v>
      </c>
      <c r="L268" t="s">
        <v>22</v>
      </c>
      <c r="M268" s="1">
        <v>37433</v>
      </c>
      <c r="N268">
        <v>2002</v>
      </c>
    </row>
    <row r="269" spans="1:14">
      <c r="A269" t="s">
        <v>14</v>
      </c>
      <c r="B269" t="str">
        <f>"110605200300"</f>
        <v>110605200300</v>
      </c>
      <c r="C269" t="s">
        <v>1451</v>
      </c>
      <c r="D269" t="s">
        <v>917</v>
      </c>
      <c r="G269" t="s">
        <v>17</v>
      </c>
      <c r="H269" t="s">
        <v>51</v>
      </c>
      <c r="I269" t="s">
        <v>19</v>
      </c>
      <c r="J269" t="s">
        <v>20</v>
      </c>
      <c r="K269" t="s">
        <v>101</v>
      </c>
      <c r="L269" t="s">
        <v>22</v>
      </c>
      <c r="M269" s="1">
        <v>37747</v>
      </c>
      <c r="N269">
        <v>2003</v>
      </c>
    </row>
    <row r="270" spans="1:14">
      <c r="A270" t="s">
        <v>14</v>
      </c>
      <c r="B270" t="str">
        <f>"112412200200"</f>
        <v>112412200200</v>
      </c>
      <c r="C270" t="s">
        <v>2006</v>
      </c>
      <c r="D270" t="s">
        <v>1748</v>
      </c>
      <c r="G270" t="s">
        <v>17</v>
      </c>
      <c r="H270" t="s">
        <v>51</v>
      </c>
      <c r="I270" t="s">
        <v>19</v>
      </c>
      <c r="J270" t="s">
        <v>20</v>
      </c>
      <c r="K270" t="s">
        <v>21</v>
      </c>
      <c r="M270" s="1">
        <v>37614</v>
      </c>
      <c r="N270">
        <v>2002</v>
      </c>
    </row>
    <row r="271" spans="1:14">
      <c r="A271" t="s">
        <v>14</v>
      </c>
      <c r="B271" t="str">
        <f>"113009200200"</f>
        <v>113009200200</v>
      </c>
      <c r="C271" t="s">
        <v>2017</v>
      </c>
      <c r="D271" t="s">
        <v>209</v>
      </c>
      <c r="G271" t="s">
        <v>17</v>
      </c>
      <c r="H271" t="s">
        <v>51</v>
      </c>
      <c r="I271" t="s">
        <v>19</v>
      </c>
      <c r="J271" t="s">
        <v>20</v>
      </c>
      <c r="K271" t="s">
        <v>101</v>
      </c>
      <c r="L271" t="s">
        <v>22</v>
      </c>
      <c r="M271" s="1">
        <v>37529</v>
      </c>
      <c r="N271">
        <v>2002</v>
      </c>
    </row>
    <row r="272" spans="1:14">
      <c r="A272" t="s">
        <v>14</v>
      </c>
      <c r="B272" t="str">
        <f>"111710200300"</f>
        <v>111710200300</v>
      </c>
      <c r="C272" t="s">
        <v>2198</v>
      </c>
      <c r="D272" t="s">
        <v>24</v>
      </c>
      <c r="G272" t="s">
        <v>17</v>
      </c>
      <c r="H272" t="s">
        <v>51</v>
      </c>
      <c r="I272" t="s">
        <v>19</v>
      </c>
      <c r="J272" t="s">
        <v>20</v>
      </c>
      <c r="K272" t="s">
        <v>101</v>
      </c>
      <c r="L272" t="s">
        <v>22</v>
      </c>
      <c r="M272" s="1">
        <v>37911</v>
      </c>
      <c r="N272">
        <v>2003</v>
      </c>
    </row>
    <row r="273" spans="1:14">
      <c r="A273" t="s">
        <v>14</v>
      </c>
      <c r="B273" t="str">
        <f>"112705200201"</f>
        <v>112705200201</v>
      </c>
      <c r="C273" t="s">
        <v>2343</v>
      </c>
      <c r="D273" t="s">
        <v>70</v>
      </c>
      <c r="G273" t="s">
        <v>17</v>
      </c>
      <c r="H273" t="s">
        <v>51</v>
      </c>
      <c r="I273" t="s">
        <v>19</v>
      </c>
      <c r="J273" t="s">
        <v>20</v>
      </c>
      <c r="K273" t="s">
        <v>21</v>
      </c>
      <c r="M273" s="1">
        <v>37403</v>
      </c>
      <c r="N273">
        <v>2002</v>
      </c>
    </row>
    <row r="274" spans="1:14">
      <c r="A274" t="s">
        <v>14</v>
      </c>
      <c r="B274" t="str">
        <f>"110406200203"</f>
        <v>110406200203</v>
      </c>
      <c r="C274" t="s">
        <v>2410</v>
      </c>
      <c r="D274" t="s">
        <v>657</v>
      </c>
      <c r="G274" t="s">
        <v>17</v>
      </c>
      <c r="H274" t="s">
        <v>51</v>
      </c>
      <c r="I274" t="s">
        <v>19</v>
      </c>
      <c r="J274" t="s">
        <v>20</v>
      </c>
      <c r="K274" t="s">
        <v>21</v>
      </c>
      <c r="M274" s="1">
        <v>37411</v>
      </c>
      <c r="N274">
        <v>2002</v>
      </c>
    </row>
    <row r="275" spans="1:14">
      <c r="A275" t="s">
        <v>14</v>
      </c>
      <c r="B275" t="str">
        <f>"111401200300"</f>
        <v>111401200300</v>
      </c>
      <c r="C275" t="s">
        <v>2442</v>
      </c>
      <c r="D275" t="s">
        <v>129</v>
      </c>
      <c r="G275" t="s">
        <v>17</v>
      </c>
      <c r="H275" t="s">
        <v>51</v>
      </c>
      <c r="I275" t="s">
        <v>19</v>
      </c>
      <c r="J275" t="s">
        <v>20</v>
      </c>
      <c r="K275" t="s">
        <v>21</v>
      </c>
      <c r="L275" t="s">
        <v>22</v>
      </c>
      <c r="M275" s="1">
        <v>37635</v>
      </c>
      <c r="N275">
        <v>2003</v>
      </c>
    </row>
    <row r="276" spans="1:14">
      <c r="A276" t="s">
        <v>14</v>
      </c>
      <c r="B276" t="str">
        <f>"112707200201"</f>
        <v>112707200201</v>
      </c>
      <c r="C276" t="s">
        <v>2513</v>
      </c>
      <c r="D276" t="s">
        <v>283</v>
      </c>
      <c r="G276" t="s">
        <v>17</v>
      </c>
      <c r="H276" t="s">
        <v>51</v>
      </c>
      <c r="I276" t="s">
        <v>19</v>
      </c>
      <c r="J276" t="s">
        <v>20</v>
      </c>
      <c r="K276" t="s">
        <v>21</v>
      </c>
      <c r="L276" t="s">
        <v>22</v>
      </c>
      <c r="M276" s="1">
        <v>37464</v>
      </c>
      <c r="N276">
        <v>2002</v>
      </c>
    </row>
    <row r="277" spans="1:14">
      <c r="A277" t="s">
        <v>14</v>
      </c>
      <c r="B277" t="str">
        <f>"112205200200"</f>
        <v>112205200200</v>
      </c>
      <c r="C277" t="s">
        <v>2635</v>
      </c>
      <c r="D277" t="s">
        <v>373</v>
      </c>
      <c r="G277" t="s">
        <v>17</v>
      </c>
      <c r="H277" t="s">
        <v>51</v>
      </c>
      <c r="I277" t="s">
        <v>19</v>
      </c>
      <c r="J277" t="s">
        <v>20</v>
      </c>
      <c r="K277" t="s">
        <v>21</v>
      </c>
      <c r="M277" s="1">
        <v>37398</v>
      </c>
      <c r="N277">
        <v>2002</v>
      </c>
    </row>
    <row r="278" spans="1:14">
      <c r="A278" t="s">
        <v>14</v>
      </c>
      <c r="B278" t="str">
        <f>"110810200300"</f>
        <v>110810200300</v>
      </c>
      <c r="C278" t="s">
        <v>2687</v>
      </c>
      <c r="D278" t="s">
        <v>155</v>
      </c>
      <c r="G278" t="s">
        <v>17</v>
      </c>
      <c r="H278" t="s">
        <v>51</v>
      </c>
      <c r="I278" t="s">
        <v>19</v>
      </c>
      <c r="J278" t="s">
        <v>20</v>
      </c>
      <c r="K278" t="s">
        <v>21</v>
      </c>
      <c r="M278" s="1">
        <v>37902</v>
      </c>
      <c r="N278">
        <v>2003</v>
      </c>
    </row>
    <row r="279" spans="1:14">
      <c r="A279" t="s">
        <v>14</v>
      </c>
      <c r="B279" t="str">
        <f>"120712200400"</f>
        <v>120712200400</v>
      </c>
      <c r="C279" t="s">
        <v>1516</v>
      </c>
      <c r="D279" t="s">
        <v>64</v>
      </c>
      <c r="G279" t="s">
        <v>32</v>
      </c>
      <c r="H279" t="s">
        <v>33</v>
      </c>
      <c r="I279" t="s">
        <v>1273</v>
      </c>
      <c r="J279" t="s">
        <v>1274</v>
      </c>
      <c r="K279" t="s">
        <v>1486</v>
      </c>
      <c r="L279" t="s">
        <v>22</v>
      </c>
      <c r="M279" s="1">
        <v>38328</v>
      </c>
      <c r="N279">
        <v>2004</v>
      </c>
    </row>
    <row r="280" spans="1:14">
      <c r="A280" t="s">
        <v>14</v>
      </c>
      <c r="B280" t="str">
        <f>"121307200301"</f>
        <v>121307200301</v>
      </c>
      <c r="C280" t="s">
        <v>2345</v>
      </c>
      <c r="D280" t="s">
        <v>64</v>
      </c>
      <c r="G280" t="s">
        <v>32</v>
      </c>
      <c r="H280" t="s">
        <v>65</v>
      </c>
      <c r="I280" t="s">
        <v>1273</v>
      </c>
      <c r="J280" t="s">
        <v>1274</v>
      </c>
      <c r="K280" t="s">
        <v>1275</v>
      </c>
      <c r="L280" t="s">
        <v>22</v>
      </c>
      <c r="M280" s="1">
        <v>37815</v>
      </c>
      <c r="N280">
        <v>2003</v>
      </c>
    </row>
    <row r="281" spans="1:14">
      <c r="A281" t="s">
        <v>14</v>
      </c>
      <c r="B281" t="str">
        <f>"111911199900"</f>
        <v>111911199900</v>
      </c>
      <c r="C281" t="s">
        <v>1272</v>
      </c>
      <c r="D281" t="s">
        <v>115</v>
      </c>
      <c r="G281" t="s">
        <v>17</v>
      </c>
      <c r="H281" t="s">
        <v>18</v>
      </c>
      <c r="I281" t="s">
        <v>1273</v>
      </c>
      <c r="J281" t="s">
        <v>1274</v>
      </c>
      <c r="K281" t="s">
        <v>1275</v>
      </c>
      <c r="M281" s="1">
        <v>36483</v>
      </c>
      <c r="N281">
        <v>1999</v>
      </c>
    </row>
    <row r="282" spans="1:14">
      <c r="A282" t="s">
        <v>14</v>
      </c>
      <c r="B282" t="str">
        <f>"111007200000"</f>
        <v>111007200000</v>
      </c>
      <c r="C282" t="s">
        <v>1485</v>
      </c>
      <c r="D282" t="s">
        <v>129</v>
      </c>
      <c r="G282" t="s">
        <v>17</v>
      </c>
      <c r="H282" t="s">
        <v>18</v>
      </c>
      <c r="I282" t="s">
        <v>1273</v>
      </c>
      <c r="J282" t="s">
        <v>1274</v>
      </c>
      <c r="K282" t="s">
        <v>1486</v>
      </c>
      <c r="M282" s="1">
        <v>36717</v>
      </c>
      <c r="N282">
        <v>2000</v>
      </c>
    </row>
    <row r="283" spans="1:14">
      <c r="A283" t="s">
        <v>14</v>
      </c>
      <c r="B283" t="str">
        <f>"112104200200"</f>
        <v>112104200200</v>
      </c>
      <c r="C283" t="s">
        <v>1539</v>
      </c>
      <c r="D283" t="s">
        <v>1103</v>
      </c>
      <c r="G283" t="s">
        <v>17</v>
      </c>
      <c r="H283" t="s">
        <v>51</v>
      </c>
      <c r="I283" t="s">
        <v>1273</v>
      </c>
      <c r="J283" t="s">
        <v>1274</v>
      </c>
      <c r="K283" t="s">
        <v>1486</v>
      </c>
      <c r="L283" t="s">
        <v>22</v>
      </c>
      <c r="M283" s="1">
        <v>37367</v>
      </c>
      <c r="N283">
        <v>2002</v>
      </c>
    </row>
    <row r="284" spans="1:14">
      <c r="A284" t="s">
        <v>14</v>
      </c>
      <c r="B284" t="str">
        <f>"111307200300"</f>
        <v>111307200300</v>
      </c>
      <c r="C284" t="s">
        <v>2344</v>
      </c>
      <c r="D284" t="s">
        <v>268</v>
      </c>
      <c r="G284" t="s">
        <v>17</v>
      </c>
      <c r="H284" t="s">
        <v>51</v>
      </c>
      <c r="I284" t="s">
        <v>1273</v>
      </c>
      <c r="J284" t="s">
        <v>1274</v>
      </c>
      <c r="K284" t="s">
        <v>1275</v>
      </c>
      <c r="L284" t="s">
        <v>22</v>
      </c>
      <c r="M284" s="1">
        <v>37815</v>
      </c>
      <c r="N284">
        <v>2003</v>
      </c>
    </row>
    <row r="285" spans="1:14">
      <c r="A285" t="s">
        <v>14</v>
      </c>
      <c r="B285" t="str">
        <f>"110304199800"</f>
        <v>110304199800</v>
      </c>
      <c r="C285" t="s">
        <v>2451</v>
      </c>
      <c r="D285" t="s">
        <v>209</v>
      </c>
      <c r="G285" t="s">
        <v>17</v>
      </c>
      <c r="H285" t="s">
        <v>25</v>
      </c>
      <c r="I285" t="s">
        <v>2452</v>
      </c>
      <c r="J285" t="s">
        <v>1274</v>
      </c>
      <c r="K285" t="s">
        <v>1275</v>
      </c>
      <c r="L285" t="s">
        <v>48</v>
      </c>
      <c r="M285" s="1">
        <v>35888</v>
      </c>
      <c r="N285">
        <v>1998</v>
      </c>
    </row>
    <row r="286" spans="1:14">
      <c r="A286" t="s">
        <v>14</v>
      </c>
      <c r="B286" t="str">
        <f>"120902200402"</f>
        <v>120902200402</v>
      </c>
      <c r="C286" t="s">
        <v>1096</v>
      </c>
      <c r="D286" t="s">
        <v>31</v>
      </c>
      <c r="G286" t="s">
        <v>32</v>
      </c>
      <c r="H286" t="s">
        <v>33</v>
      </c>
      <c r="I286" t="s">
        <v>227</v>
      </c>
      <c r="J286" t="s">
        <v>228</v>
      </c>
      <c r="K286" t="s">
        <v>229</v>
      </c>
      <c r="L286" t="s">
        <v>22</v>
      </c>
      <c r="M286" s="1">
        <v>38026</v>
      </c>
      <c r="N286">
        <v>2004</v>
      </c>
    </row>
    <row r="287" spans="1:14">
      <c r="A287" t="s">
        <v>14</v>
      </c>
      <c r="B287" t="str">
        <f>"120902200403"</f>
        <v>120902200403</v>
      </c>
      <c r="C287" t="s">
        <v>1096</v>
      </c>
      <c r="D287" t="s">
        <v>232</v>
      </c>
      <c r="G287" t="s">
        <v>32</v>
      </c>
      <c r="H287" t="s">
        <v>33</v>
      </c>
      <c r="I287" t="s">
        <v>227</v>
      </c>
      <c r="J287" t="s">
        <v>228</v>
      </c>
      <c r="K287" t="s">
        <v>229</v>
      </c>
      <c r="L287" t="s">
        <v>22</v>
      </c>
      <c r="M287" s="1">
        <v>38026</v>
      </c>
      <c r="N287">
        <v>2004</v>
      </c>
    </row>
    <row r="288" spans="1:14">
      <c r="A288" t="s">
        <v>14</v>
      </c>
      <c r="B288" t="str">
        <f>"121501200400"</f>
        <v>121501200400</v>
      </c>
      <c r="C288" t="s">
        <v>1541</v>
      </c>
      <c r="D288" t="s">
        <v>184</v>
      </c>
      <c r="G288" t="s">
        <v>32</v>
      </c>
      <c r="H288" t="s">
        <v>33</v>
      </c>
      <c r="I288" t="s">
        <v>227</v>
      </c>
      <c r="J288" t="s">
        <v>228</v>
      </c>
      <c r="K288" t="s">
        <v>229</v>
      </c>
      <c r="L288" t="s">
        <v>22</v>
      </c>
      <c r="M288" s="1">
        <v>38001</v>
      </c>
      <c r="N288">
        <v>2004</v>
      </c>
    </row>
    <row r="289" spans="1:14">
      <c r="A289" t="s">
        <v>14</v>
      </c>
      <c r="B289" t="str">
        <f>"121903200401"</f>
        <v>121903200401</v>
      </c>
      <c r="C289" t="s">
        <v>2187</v>
      </c>
      <c r="D289" t="s">
        <v>421</v>
      </c>
      <c r="G289" t="s">
        <v>32</v>
      </c>
      <c r="H289" t="s">
        <v>33</v>
      </c>
      <c r="I289" t="s">
        <v>227</v>
      </c>
      <c r="J289" t="s">
        <v>228</v>
      </c>
      <c r="K289" t="s">
        <v>229</v>
      </c>
      <c r="L289" t="s">
        <v>22</v>
      </c>
      <c r="M289" s="1">
        <v>38065</v>
      </c>
      <c r="N289">
        <v>2004</v>
      </c>
    </row>
    <row r="290" spans="1:14">
      <c r="A290" t="s">
        <v>14</v>
      </c>
      <c r="B290" t="str">
        <f>"122804200401"</f>
        <v>122804200401</v>
      </c>
      <c r="C290" t="s">
        <v>2895</v>
      </c>
      <c r="D290" t="s">
        <v>429</v>
      </c>
      <c r="G290" t="s">
        <v>32</v>
      </c>
      <c r="H290" t="s">
        <v>33</v>
      </c>
      <c r="I290" t="s">
        <v>227</v>
      </c>
      <c r="J290" t="s">
        <v>228</v>
      </c>
      <c r="K290" t="s">
        <v>229</v>
      </c>
      <c r="L290" t="s">
        <v>22</v>
      </c>
      <c r="M290" s="1">
        <v>38105</v>
      </c>
      <c r="N290">
        <v>2004</v>
      </c>
    </row>
    <row r="291" spans="1:14">
      <c r="A291" t="s">
        <v>14</v>
      </c>
      <c r="B291" t="str">
        <f>"122904200301"</f>
        <v>122904200301</v>
      </c>
      <c r="C291" t="s">
        <v>633</v>
      </c>
      <c r="D291" t="s">
        <v>332</v>
      </c>
      <c r="G291" t="s">
        <v>32</v>
      </c>
      <c r="H291" t="s">
        <v>65</v>
      </c>
      <c r="I291" t="s">
        <v>227</v>
      </c>
      <c r="J291" t="s">
        <v>228</v>
      </c>
      <c r="K291" t="s">
        <v>229</v>
      </c>
      <c r="L291" t="s">
        <v>63</v>
      </c>
      <c r="M291" s="1">
        <v>37740</v>
      </c>
      <c r="N291">
        <v>2003</v>
      </c>
    </row>
    <row r="292" spans="1:14">
      <c r="A292" t="s">
        <v>14</v>
      </c>
      <c r="B292" t="str">
        <f>"120111200200"</f>
        <v>120111200200</v>
      </c>
      <c r="C292" t="s">
        <v>687</v>
      </c>
      <c r="D292" t="s">
        <v>232</v>
      </c>
      <c r="G292" t="s">
        <v>32</v>
      </c>
      <c r="H292" t="s">
        <v>65</v>
      </c>
      <c r="I292" t="s">
        <v>227</v>
      </c>
      <c r="J292" t="s">
        <v>228</v>
      </c>
      <c r="K292" t="s">
        <v>229</v>
      </c>
      <c r="L292" t="s">
        <v>63</v>
      </c>
      <c r="M292" s="1">
        <v>37561</v>
      </c>
      <c r="N292">
        <v>2002</v>
      </c>
    </row>
    <row r="293" spans="1:14">
      <c r="A293" t="s">
        <v>14</v>
      </c>
      <c r="B293" t="str">
        <f>"120703200301"</f>
        <v>120703200301</v>
      </c>
      <c r="C293" t="s">
        <v>882</v>
      </c>
      <c r="D293" t="s">
        <v>235</v>
      </c>
      <c r="G293" t="s">
        <v>32</v>
      </c>
      <c r="H293" t="s">
        <v>65</v>
      </c>
      <c r="I293" t="s">
        <v>227</v>
      </c>
      <c r="J293" t="s">
        <v>228</v>
      </c>
      <c r="K293" t="s">
        <v>229</v>
      </c>
      <c r="L293" t="s">
        <v>22</v>
      </c>
      <c r="M293" s="1">
        <v>37687</v>
      </c>
      <c r="N293">
        <v>2003</v>
      </c>
    </row>
    <row r="294" spans="1:14">
      <c r="A294" t="s">
        <v>14</v>
      </c>
      <c r="B294" t="str">
        <f>"122907200201"</f>
        <v>122907200201</v>
      </c>
      <c r="C294" t="s">
        <v>1993</v>
      </c>
      <c r="D294" t="s">
        <v>263</v>
      </c>
      <c r="G294" t="s">
        <v>32</v>
      </c>
      <c r="H294" t="s">
        <v>65</v>
      </c>
      <c r="I294" t="s">
        <v>227</v>
      </c>
      <c r="J294" t="s">
        <v>228</v>
      </c>
      <c r="K294" t="s">
        <v>229</v>
      </c>
      <c r="L294" t="s">
        <v>63</v>
      </c>
      <c r="M294" s="1">
        <v>37466</v>
      </c>
      <c r="N294">
        <v>2002</v>
      </c>
    </row>
    <row r="295" spans="1:14">
      <c r="A295" t="s">
        <v>14</v>
      </c>
      <c r="B295" t="str">
        <f>"122809200301"</f>
        <v>122809200301</v>
      </c>
      <c r="C295" t="s">
        <v>1997</v>
      </c>
      <c r="D295" t="s">
        <v>587</v>
      </c>
      <c r="G295" t="s">
        <v>32</v>
      </c>
      <c r="H295" t="s">
        <v>65</v>
      </c>
      <c r="I295" t="s">
        <v>227</v>
      </c>
      <c r="J295" t="s">
        <v>228</v>
      </c>
      <c r="K295" t="s">
        <v>229</v>
      </c>
      <c r="L295" t="s">
        <v>63</v>
      </c>
      <c r="M295" s="1">
        <v>37892</v>
      </c>
      <c r="N295">
        <v>2003</v>
      </c>
    </row>
    <row r="296" spans="1:14">
      <c r="A296" t="s">
        <v>14</v>
      </c>
      <c r="B296" t="str">
        <f>"121209200301"</f>
        <v>121209200301</v>
      </c>
      <c r="C296" t="s">
        <v>2074</v>
      </c>
      <c r="D296" t="s">
        <v>152</v>
      </c>
      <c r="G296" t="s">
        <v>32</v>
      </c>
      <c r="H296" t="s">
        <v>65</v>
      </c>
      <c r="I296" t="s">
        <v>227</v>
      </c>
      <c r="J296" t="s">
        <v>228</v>
      </c>
      <c r="K296" t="s">
        <v>229</v>
      </c>
      <c r="L296" t="s">
        <v>22</v>
      </c>
      <c r="M296" s="1">
        <v>37876</v>
      </c>
      <c r="N296">
        <v>2003</v>
      </c>
    </row>
    <row r="297" spans="1:14">
      <c r="A297" t="s">
        <v>14</v>
      </c>
      <c r="B297" t="str">
        <f>"112711200102"</f>
        <v>112711200102</v>
      </c>
      <c r="C297" t="s">
        <v>2621</v>
      </c>
      <c r="D297" t="s">
        <v>657</v>
      </c>
      <c r="G297" t="s">
        <v>17</v>
      </c>
      <c r="H297" t="s">
        <v>18</v>
      </c>
      <c r="I297" t="s">
        <v>227</v>
      </c>
      <c r="J297" t="s">
        <v>228</v>
      </c>
      <c r="K297" t="s">
        <v>229</v>
      </c>
      <c r="L297" t="s">
        <v>63</v>
      </c>
      <c r="M297" s="1">
        <v>37222</v>
      </c>
      <c r="N297">
        <v>2001</v>
      </c>
    </row>
    <row r="298" spans="1:14">
      <c r="A298" t="s">
        <v>14</v>
      </c>
      <c r="B298" t="str">
        <f>"112206200400"</f>
        <v>112206200400</v>
      </c>
      <c r="C298" t="s">
        <v>1118</v>
      </c>
      <c r="D298" t="s">
        <v>221</v>
      </c>
      <c r="G298" t="s">
        <v>17</v>
      </c>
      <c r="H298" t="s">
        <v>39</v>
      </c>
      <c r="I298" t="s">
        <v>227</v>
      </c>
      <c r="J298" t="s">
        <v>228</v>
      </c>
      <c r="K298" t="s">
        <v>229</v>
      </c>
      <c r="L298" t="s">
        <v>22</v>
      </c>
      <c r="M298" s="1">
        <v>38160</v>
      </c>
      <c r="N298">
        <v>2004</v>
      </c>
    </row>
    <row r="299" spans="1:14">
      <c r="A299" t="s">
        <v>14</v>
      </c>
      <c r="B299" t="str">
        <f>"111110200400"</f>
        <v>111110200400</v>
      </c>
      <c r="C299" t="s">
        <v>1192</v>
      </c>
      <c r="D299" t="s">
        <v>89</v>
      </c>
      <c r="G299" t="s">
        <v>17</v>
      </c>
      <c r="H299" t="s">
        <v>39</v>
      </c>
      <c r="I299" t="s">
        <v>227</v>
      </c>
      <c r="J299" t="s">
        <v>228</v>
      </c>
      <c r="K299" t="s">
        <v>229</v>
      </c>
      <c r="L299" t="s">
        <v>22</v>
      </c>
      <c r="M299" s="1">
        <v>38271</v>
      </c>
      <c r="N299">
        <v>2004</v>
      </c>
    </row>
    <row r="300" spans="1:14">
      <c r="A300" t="s">
        <v>14</v>
      </c>
      <c r="B300" t="str">
        <f>"111407200400"</f>
        <v>111407200400</v>
      </c>
      <c r="C300" t="s">
        <v>2007</v>
      </c>
      <c r="D300" t="s">
        <v>155</v>
      </c>
      <c r="G300" t="s">
        <v>17</v>
      </c>
      <c r="H300" t="s">
        <v>39</v>
      </c>
      <c r="I300" t="s">
        <v>227</v>
      </c>
      <c r="J300" t="s">
        <v>228</v>
      </c>
      <c r="K300" t="s">
        <v>229</v>
      </c>
      <c r="L300" t="s">
        <v>22</v>
      </c>
      <c r="M300" s="1">
        <v>38182</v>
      </c>
      <c r="N300">
        <v>2004</v>
      </c>
    </row>
    <row r="301" spans="1:14">
      <c r="A301" t="s">
        <v>14</v>
      </c>
      <c r="B301" t="str">
        <f>"110412200401"</f>
        <v>110412200401</v>
      </c>
      <c r="C301" t="s">
        <v>2047</v>
      </c>
      <c r="D301" t="s">
        <v>70</v>
      </c>
      <c r="G301" t="s">
        <v>17</v>
      </c>
      <c r="H301" t="s">
        <v>39</v>
      </c>
      <c r="I301" t="s">
        <v>227</v>
      </c>
      <c r="J301" t="s">
        <v>228</v>
      </c>
      <c r="K301" t="s">
        <v>229</v>
      </c>
      <c r="L301" t="s">
        <v>22</v>
      </c>
      <c r="M301" s="1">
        <v>38325</v>
      </c>
      <c r="N301">
        <v>2004</v>
      </c>
    </row>
    <row r="302" spans="1:14">
      <c r="A302" t="s">
        <v>14</v>
      </c>
      <c r="B302" t="str">
        <f>"111302200402"</f>
        <v>111302200402</v>
      </c>
      <c r="C302" t="s">
        <v>2491</v>
      </c>
      <c r="D302" t="s">
        <v>259</v>
      </c>
      <c r="G302" t="s">
        <v>17</v>
      </c>
      <c r="H302" t="s">
        <v>39</v>
      </c>
      <c r="I302" t="s">
        <v>227</v>
      </c>
      <c r="J302" t="s">
        <v>228</v>
      </c>
      <c r="K302" t="s">
        <v>229</v>
      </c>
      <c r="L302" t="s">
        <v>22</v>
      </c>
      <c r="M302" s="1">
        <v>38030</v>
      </c>
      <c r="N302">
        <v>2004</v>
      </c>
    </row>
    <row r="303" spans="1:14">
      <c r="A303" t="s">
        <v>14</v>
      </c>
      <c r="B303" t="str">
        <f>"112305200301"</f>
        <v>112305200301</v>
      </c>
      <c r="C303" t="s">
        <v>226</v>
      </c>
      <c r="D303" t="s">
        <v>53</v>
      </c>
      <c r="G303" t="s">
        <v>17</v>
      </c>
      <c r="H303" t="s">
        <v>51</v>
      </c>
      <c r="I303" t="s">
        <v>227</v>
      </c>
      <c r="J303" t="s">
        <v>228</v>
      </c>
      <c r="K303" t="s">
        <v>229</v>
      </c>
      <c r="L303" t="s">
        <v>63</v>
      </c>
      <c r="M303" s="1">
        <v>37764</v>
      </c>
      <c r="N303">
        <v>2003</v>
      </c>
    </row>
    <row r="304" spans="1:14">
      <c r="A304" t="s">
        <v>14</v>
      </c>
      <c r="B304" t="str">
        <f>"111003200201"</f>
        <v>111003200201</v>
      </c>
      <c r="C304" t="s">
        <v>718</v>
      </c>
      <c r="D304" t="s">
        <v>529</v>
      </c>
      <c r="G304" t="s">
        <v>17</v>
      </c>
      <c r="H304" t="s">
        <v>51</v>
      </c>
      <c r="I304" t="s">
        <v>227</v>
      </c>
      <c r="J304" t="s">
        <v>228</v>
      </c>
      <c r="K304" t="s">
        <v>229</v>
      </c>
      <c r="L304" t="s">
        <v>22</v>
      </c>
      <c r="M304" s="1">
        <v>37325</v>
      </c>
      <c r="N304">
        <v>2002</v>
      </c>
    </row>
    <row r="305" spans="1:14">
      <c r="A305" t="s">
        <v>14</v>
      </c>
      <c r="B305" t="str">
        <f>"112901200300"</f>
        <v>112901200300</v>
      </c>
      <c r="C305" t="s">
        <v>990</v>
      </c>
      <c r="D305" t="s">
        <v>53</v>
      </c>
      <c r="G305" t="s">
        <v>17</v>
      </c>
      <c r="H305" t="s">
        <v>51</v>
      </c>
      <c r="I305" t="s">
        <v>227</v>
      </c>
      <c r="J305" t="s">
        <v>228</v>
      </c>
      <c r="K305" t="s">
        <v>229</v>
      </c>
      <c r="L305" t="s">
        <v>63</v>
      </c>
      <c r="M305" s="1">
        <v>37650</v>
      </c>
      <c r="N305">
        <v>2003</v>
      </c>
    </row>
    <row r="306" spans="1:14">
      <c r="A306" t="s">
        <v>14</v>
      </c>
      <c r="B306" t="str">
        <f>"113005200302"</f>
        <v>113005200302</v>
      </c>
      <c r="C306" t="s">
        <v>1410</v>
      </c>
      <c r="D306" t="s">
        <v>256</v>
      </c>
      <c r="G306" t="s">
        <v>17</v>
      </c>
      <c r="H306" t="s">
        <v>51</v>
      </c>
      <c r="I306" t="s">
        <v>227</v>
      </c>
      <c r="J306" t="s">
        <v>228</v>
      </c>
      <c r="K306" t="s">
        <v>229</v>
      </c>
      <c r="L306" t="s">
        <v>22</v>
      </c>
      <c r="M306" s="1">
        <v>37771</v>
      </c>
      <c r="N306">
        <v>2003</v>
      </c>
    </row>
    <row r="307" spans="1:14">
      <c r="A307" t="s">
        <v>14</v>
      </c>
      <c r="B307" t="str">
        <f>"110801200300"</f>
        <v>110801200300</v>
      </c>
      <c r="C307" t="s">
        <v>1715</v>
      </c>
      <c r="D307" t="s">
        <v>181</v>
      </c>
      <c r="G307" t="s">
        <v>17</v>
      </c>
      <c r="H307" t="s">
        <v>51</v>
      </c>
      <c r="I307" t="s">
        <v>227</v>
      </c>
      <c r="J307" t="s">
        <v>228</v>
      </c>
      <c r="K307" t="s">
        <v>1716</v>
      </c>
      <c r="L307" t="s">
        <v>22</v>
      </c>
      <c r="M307" s="1">
        <v>37629</v>
      </c>
      <c r="N307">
        <v>2003</v>
      </c>
    </row>
    <row r="308" spans="1:14">
      <c r="A308" t="s">
        <v>14</v>
      </c>
      <c r="B308" t="str">
        <f>"110206200301"</f>
        <v>110206200301</v>
      </c>
      <c r="C308" t="s">
        <v>2684</v>
      </c>
      <c r="D308" t="s">
        <v>120</v>
      </c>
      <c r="G308" t="s">
        <v>17</v>
      </c>
      <c r="H308" t="s">
        <v>51</v>
      </c>
      <c r="I308" t="s">
        <v>227</v>
      </c>
      <c r="J308" t="s">
        <v>228</v>
      </c>
      <c r="K308" t="s">
        <v>229</v>
      </c>
      <c r="L308" t="s">
        <v>22</v>
      </c>
      <c r="M308" s="1">
        <v>37774</v>
      </c>
      <c r="N308">
        <v>2003</v>
      </c>
    </row>
    <row r="309" spans="1:14">
      <c r="A309" t="s">
        <v>14</v>
      </c>
      <c r="B309" t="str">
        <f>"122812200400"</f>
        <v>122812200400</v>
      </c>
      <c r="C309" t="s">
        <v>833</v>
      </c>
      <c r="D309" t="s">
        <v>58</v>
      </c>
      <c r="G309" t="s">
        <v>32</v>
      </c>
      <c r="H309" t="s">
        <v>33</v>
      </c>
      <c r="I309" t="s">
        <v>513</v>
      </c>
      <c r="J309" t="s">
        <v>514</v>
      </c>
      <c r="K309" t="s">
        <v>834</v>
      </c>
      <c r="L309" t="s">
        <v>22</v>
      </c>
      <c r="M309" s="1">
        <v>38349</v>
      </c>
      <c r="N309">
        <v>2004</v>
      </c>
    </row>
    <row r="310" spans="1:14">
      <c r="A310" t="s">
        <v>14</v>
      </c>
      <c r="B310" t="str">
        <f>"120708200300"</f>
        <v>120708200300</v>
      </c>
      <c r="C310" t="s">
        <v>2889</v>
      </c>
      <c r="D310" t="s">
        <v>58</v>
      </c>
      <c r="G310" t="s">
        <v>32</v>
      </c>
      <c r="H310" t="s">
        <v>65</v>
      </c>
      <c r="I310" t="s">
        <v>513</v>
      </c>
      <c r="J310" t="s">
        <v>514</v>
      </c>
      <c r="K310" t="s">
        <v>1354</v>
      </c>
      <c r="L310" t="s">
        <v>22</v>
      </c>
      <c r="M310" s="1">
        <v>37840</v>
      </c>
      <c r="N310">
        <v>2003</v>
      </c>
    </row>
    <row r="311" spans="1:14">
      <c r="A311" t="s">
        <v>14</v>
      </c>
      <c r="B311" t="str">
        <f>"111807200101"</f>
        <v>111807200101</v>
      </c>
      <c r="C311" t="s">
        <v>512</v>
      </c>
      <c r="D311" t="s">
        <v>115</v>
      </c>
      <c r="G311" t="s">
        <v>17</v>
      </c>
      <c r="H311" t="s">
        <v>18</v>
      </c>
      <c r="I311" t="s">
        <v>513</v>
      </c>
      <c r="J311" t="s">
        <v>514</v>
      </c>
      <c r="K311" t="s">
        <v>515</v>
      </c>
      <c r="L311" t="s">
        <v>22</v>
      </c>
      <c r="M311" s="1">
        <v>37090</v>
      </c>
      <c r="N311">
        <v>2001</v>
      </c>
    </row>
    <row r="312" spans="1:14">
      <c r="A312" t="s">
        <v>14</v>
      </c>
      <c r="B312" t="str">
        <f>"112905200103"</f>
        <v>112905200103</v>
      </c>
      <c r="C312" t="s">
        <v>1015</v>
      </c>
      <c r="D312" t="s">
        <v>373</v>
      </c>
      <c r="G312" t="s">
        <v>17</v>
      </c>
      <c r="H312" t="s">
        <v>18</v>
      </c>
      <c r="I312" t="s">
        <v>513</v>
      </c>
      <c r="J312" t="s">
        <v>514</v>
      </c>
      <c r="K312" t="s">
        <v>515</v>
      </c>
      <c r="M312" s="1">
        <v>37040</v>
      </c>
      <c r="N312">
        <v>2001</v>
      </c>
    </row>
    <row r="313" spans="1:14">
      <c r="A313" t="s">
        <v>14</v>
      </c>
      <c r="B313" t="str">
        <f>"112510200101"</f>
        <v>112510200101</v>
      </c>
      <c r="C313" t="s">
        <v>1639</v>
      </c>
      <c r="D313" t="s">
        <v>155</v>
      </c>
      <c r="G313" t="s">
        <v>17</v>
      </c>
      <c r="H313" t="s">
        <v>18</v>
      </c>
      <c r="I313" t="s">
        <v>513</v>
      </c>
      <c r="J313" t="s">
        <v>514</v>
      </c>
      <c r="K313" t="s">
        <v>515</v>
      </c>
      <c r="L313" t="s">
        <v>22</v>
      </c>
      <c r="M313" s="1">
        <v>37189</v>
      </c>
      <c r="N313">
        <v>2001</v>
      </c>
    </row>
    <row r="314" spans="1:14">
      <c r="A314" t="s">
        <v>14</v>
      </c>
      <c r="B314" t="str">
        <f>"110904200100"</f>
        <v>110904200100</v>
      </c>
      <c r="C314" t="s">
        <v>2410</v>
      </c>
      <c r="D314" t="s">
        <v>95</v>
      </c>
      <c r="G314" t="s">
        <v>17</v>
      </c>
      <c r="H314" t="s">
        <v>18</v>
      </c>
      <c r="I314" t="s">
        <v>513</v>
      </c>
      <c r="J314" t="s">
        <v>514</v>
      </c>
      <c r="K314" t="s">
        <v>515</v>
      </c>
      <c r="L314" t="s">
        <v>22</v>
      </c>
      <c r="M314" s="1">
        <v>36990</v>
      </c>
      <c r="N314">
        <v>2001</v>
      </c>
    </row>
    <row r="315" spans="1:14">
      <c r="A315" t="s">
        <v>14</v>
      </c>
      <c r="B315" t="str">
        <f>"111009200400"</f>
        <v>111009200400</v>
      </c>
      <c r="C315" t="s">
        <v>1345</v>
      </c>
      <c r="D315" t="s">
        <v>344</v>
      </c>
      <c r="G315" t="s">
        <v>17</v>
      </c>
      <c r="H315" t="s">
        <v>39</v>
      </c>
      <c r="I315" t="s">
        <v>513</v>
      </c>
      <c r="J315" t="s">
        <v>514</v>
      </c>
      <c r="K315" t="s">
        <v>834</v>
      </c>
      <c r="L315" t="s">
        <v>22</v>
      </c>
      <c r="M315" s="1">
        <v>38240</v>
      </c>
      <c r="N315">
        <v>2004</v>
      </c>
    </row>
    <row r="316" spans="1:14">
      <c r="A316" t="s">
        <v>14</v>
      </c>
      <c r="B316" t="str">
        <f>"110605200400"</f>
        <v>110605200400</v>
      </c>
      <c r="C316" t="s">
        <v>2580</v>
      </c>
      <c r="D316" t="s">
        <v>155</v>
      </c>
      <c r="G316" t="s">
        <v>17</v>
      </c>
      <c r="H316" t="s">
        <v>39</v>
      </c>
      <c r="I316" t="s">
        <v>513</v>
      </c>
      <c r="J316" t="s">
        <v>514</v>
      </c>
      <c r="K316" t="s">
        <v>834</v>
      </c>
      <c r="L316" t="s">
        <v>22</v>
      </c>
      <c r="M316" s="1">
        <v>38113</v>
      </c>
      <c r="N316">
        <v>2004</v>
      </c>
    </row>
    <row r="317" spans="1:14">
      <c r="A317" t="s">
        <v>14</v>
      </c>
      <c r="B317" t="str">
        <f>"110912200301"</f>
        <v>110912200301</v>
      </c>
      <c r="C317" t="s">
        <v>1353</v>
      </c>
      <c r="D317" t="s">
        <v>98</v>
      </c>
      <c r="G317" t="s">
        <v>17</v>
      </c>
      <c r="H317" t="s">
        <v>51</v>
      </c>
      <c r="I317" t="s">
        <v>513</v>
      </c>
      <c r="J317" t="s">
        <v>514</v>
      </c>
      <c r="K317" t="s">
        <v>1354</v>
      </c>
      <c r="L317" t="s">
        <v>22</v>
      </c>
      <c r="M317" s="1">
        <v>37964</v>
      </c>
      <c r="N317">
        <v>2003</v>
      </c>
    </row>
    <row r="318" spans="1:14">
      <c r="A318" t="s">
        <v>14</v>
      </c>
      <c r="B318" t="str">
        <f>"112305200300"</f>
        <v>112305200300</v>
      </c>
      <c r="C318" t="s">
        <v>2160</v>
      </c>
      <c r="D318" t="s">
        <v>24</v>
      </c>
      <c r="G318" t="s">
        <v>17</v>
      </c>
      <c r="H318" t="s">
        <v>51</v>
      </c>
      <c r="I318" t="s">
        <v>513</v>
      </c>
      <c r="J318" t="s">
        <v>514</v>
      </c>
      <c r="K318" t="s">
        <v>515</v>
      </c>
      <c r="L318" t="s">
        <v>22</v>
      </c>
      <c r="M318" s="1">
        <v>37764</v>
      </c>
      <c r="N318">
        <v>2003</v>
      </c>
    </row>
    <row r="319" spans="1:14">
      <c r="A319" t="s">
        <v>14</v>
      </c>
      <c r="B319" t="str">
        <f>"110305200303"</f>
        <v>110305200303</v>
      </c>
      <c r="C319" t="s">
        <v>2392</v>
      </c>
      <c r="D319" t="s">
        <v>886</v>
      </c>
      <c r="G319" t="s">
        <v>17</v>
      </c>
      <c r="H319" t="s">
        <v>51</v>
      </c>
      <c r="I319" t="s">
        <v>513</v>
      </c>
      <c r="J319" t="s">
        <v>514</v>
      </c>
      <c r="K319" t="s">
        <v>515</v>
      </c>
      <c r="L319" t="s">
        <v>22</v>
      </c>
      <c r="M319" s="1">
        <v>37744</v>
      </c>
      <c r="N319">
        <v>2003</v>
      </c>
    </row>
    <row r="320" spans="1:14">
      <c r="A320" t="s">
        <v>14</v>
      </c>
      <c r="B320" t="str">
        <f>"120809200400"</f>
        <v>120809200400</v>
      </c>
      <c r="C320" t="s">
        <v>1583</v>
      </c>
      <c r="D320" t="s">
        <v>421</v>
      </c>
      <c r="G320" t="s">
        <v>32</v>
      </c>
      <c r="H320" t="s">
        <v>33</v>
      </c>
      <c r="I320" t="s">
        <v>108</v>
      </c>
      <c r="J320" t="s">
        <v>109</v>
      </c>
      <c r="K320" t="s">
        <v>132</v>
      </c>
      <c r="L320" t="s">
        <v>22</v>
      </c>
      <c r="M320" s="1">
        <v>38238</v>
      </c>
      <c r="N320">
        <v>2004</v>
      </c>
    </row>
    <row r="321" spans="1:14">
      <c r="A321" t="s">
        <v>14</v>
      </c>
      <c r="B321" t="str">
        <f>"123006200400"</f>
        <v>123006200400</v>
      </c>
      <c r="C321" t="s">
        <v>1659</v>
      </c>
      <c r="D321" t="s">
        <v>353</v>
      </c>
      <c r="G321" t="s">
        <v>32</v>
      </c>
      <c r="H321" t="s">
        <v>33</v>
      </c>
      <c r="I321" t="s">
        <v>108</v>
      </c>
      <c r="J321" t="s">
        <v>109</v>
      </c>
      <c r="K321" t="s">
        <v>1089</v>
      </c>
      <c r="L321" t="s">
        <v>22</v>
      </c>
      <c r="M321" s="1">
        <v>38168</v>
      </c>
      <c r="N321">
        <v>2004</v>
      </c>
    </row>
    <row r="322" spans="1:14">
      <c r="A322" t="s">
        <v>14</v>
      </c>
      <c r="B322" t="str">
        <f>"121610200400"</f>
        <v>121610200400</v>
      </c>
      <c r="C322" t="s">
        <v>1749</v>
      </c>
      <c r="D322" t="s">
        <v>249</v>
      </c>
      <c r="G322" t="s">
        <v>32</v>
      </c>
      <c r="H322" t="s">
        <v>33</v>
      </c>
      <c r="I322" t="s">
        <v>108</v>
      </c>
      <c r="J322" t="s">
        <v>109</v>
      </c>
      <c r="K322" t="s">
        <v>132</v>
      </c>
      <c r="L322" t="s">
        <v>22</v>
      </c>
      <c r="M322" s="1">
        <v>38276</v>
      </c>
      <c r="N322">
        <v>2004</v>
      </c>
    </row>
    <row r="323" spans="1:14">
      <c r="A323" t="s">
        <v>14</v>
      </c>
      <c r="B323" t="str">
        <f>"122501200400"</f>
        <v>122501200400</v>
      </c>
      <c r="C323" t="s">
        <v>2332</v>
      </c>
      <c r="D323" t="s">
        <v>184</v>
      </c>
      <c r="G323" t="s">
        <v>32</v>
      </c>
      <c r="H323" t="s">
        <v>33</v>
      </c>
      <c r="I323" t="s">
        <v>108</v>
      </c>
      <c r="J323" t="s">
        <v>109</v>
      </c>
      <c r="K323" t="s">
        <v>132</v>
      </c>
      <c r="L323" t="s">
        <v>22</v>
      </c>
      <c r="M323" s="1">
        <v>38011</v>
      </c>
      <c r="N323">
        <v>2004</v>
      </c>
    </row>
    <row r="324" spans="1:14">
      <c r="A324" t="s">
        <v>14</v>
      </c>
      <c r="B324" t="str">
        <f>"122304200401"</f>
        <v>122304200401</v>
      </c>
      <c r="C324" t="s">
        <v>2411</v>
      </c>
      <c r="D324" t="s">
        <v>611</v>
      </c>
      <c r="G324" t="s">
        <v>32</v>
      </c>
      <c r="H324" t="s">
        <v>33</v>
      </c>
      <c r="I324" t="s">
        <v>108</v>
      </c>
      <c r="J324" t="s">
        <v>109</v>
      </c>
      <c r="K324" t="s">
        <v>132</v>
      </c>
      <c r="L324" t="s">
        <v>22</v>
      </c>
      <c r="M324" s="1">
        <v>38100</v>
      </c>
      <c r="N324">
        <v>2004</v>
      </c>
    </row>
    <row r="325" spans="1:14">
      <c r="A325" t="s">
        <v>14</v>
      </c>
      <c r="B325" t="str">
        <f>"120804200202"</f>
        <v>120804200202</v>
      </c>
      <c r="C325" t="s">
        <v>309</v>
      </c>
      <c r="D325" t="s">
        <v>310</v>
      </c>
      <c r="G325" t="s">
        <v>32</v>
      </c>
      <c r="H325" t="s">
        <v>65</v>
      </c>
      <c r="I325" t="s">
        <v>108</v>
      </c>
      <c r="J325" t="s">
        <v>109</v>
      </c>
      <c r="K325" t="s">
        <v>311</v>
      </c>
      <c r="L325" t="s">
        <v>63</v>
      </c>
      <c r="M325" s="1">
        <v>37354</v>
      </c>
      <c r="N325">
        <v>2002</v>
      </c>
    </row>
    <row r="326" spans="1:14">
      <c r="A326" t="s">
        <v>14</v>
      </c>
      <c r="B326" t="str">
        <f>"120509200301"</f>
        <v>120509200301</v>
      </c>
      <c r="C326" t="s">
        <v>447</v>
      </c>
      <c r="D326" t="s">
        <v>448</v>
      </c>
      <c r="G326" t="s">
        <v>32</v>
      </c>
      <c r="H326" t="s">
        <v>65</v>
      </c>
      <c r="I326" t="s">
        <v>108</v>
      </c>
      <c r="J326" t="s">
        <v>109</v>
      </c>
      <c r="K326" t="s">
        <v>132</v>
      </c>
      <c r="L326" t="s">
        <v>22</v>
      </c>
      <c r="M326" s="1">
        <v>37869</v>
      </c>
      <c r="N326">
        <v>2003</v>
      </c>
    </row>
    <row r="327" spans="1:14">
      <c r="A327" t="s">
        <v>14</v>
      </c>
      <c r="B327" t="str">
        <f>"121706200201"</f>
        <v>121706200201</v>
      </c>
      <c r="C327" t="s">
        <v>567</v>
      </c>
      <c r="D327" t="s">
        <v>524</v>
      </c>
      <c r="G327" t="s">
        <v>32</v>
      </c>
      <c r="H327" t="s">
        <v>65</v>
      </c>
      <c r="I327" t="s">
        <v>108</v>
      </c>
      <c r="J327" t="s">
        <v>109</v>
      </c>
      <c r="K327" t="s">
        <v>110</v>
      </c>
      <c r="L327" t="s">
        <v>22</v>
      </c>
      <c r="M327" s="1">
        <v>37424</v>
      </c>
      <c r="N327">
        <v>2002</v>
      </c>
    </row>
    <row r="328" spans="1:14">
      <c r="A328" t="s">
        <v>14</v>
      </c>
      <c r="B328" t="str">
        <f>"121902200301"</f>
        <v>121902200301</v>
      </c>
      <c r="C328" t="s">
        <v>711</v>
      </c>
      <c r="D328" t="s">
        <v>194</v>
      </c>
      <c r="G328" t="s">
        <v>32</v>
      </c>
      <c r="H328" t="s">
        <v>65</v>
      </c>
      <c r="I328" t="s">
        <v>108</v>
      </c>
      <c r="J328" t="s">
        <v>109</v>
      </c>
      <c r="K328" t="s">
        <v>712</v>
      </c>
      <c r="L328" t="s">
        <v>22</v>
      </c>
      <c r="M328" s="1">
        <v>37671</v>
      </c>
      <c r="N328">
        <v>2003</v>
      </c>
    </row>
    <row r="329" spans="1:14">
      <c r="A329" t="s">
        <v>14</v>
      </c>
      <c r="B329" t="str">
        <f>"121901200201"</f>
        <v>121901200201</v>
      </c>
      <c r="C329" t="s">
        <v>711</v>
      </c>
      <c r="D329" t="s">
        <v>232</v>
      </c>
      <c r="G329" t="s">
        <v>32</v>
      </c>
      <c r="H329" t="s">
        <v>65</v>
      </c>
      <c r="I329" t="s">
        <v>108</v>
      </c>
      <c r="J329" t="s">
        <v>109</v>
      </c>
      <c r="K329" t="s">
        <v>176</v>
      </c>
      <c r="L329" t="s">
        <v>22</v>
      </c>
      <c r="M329" s="1">
        <v>37275</v>
      </c>
      <c r="N329">
        <v>2002</v>
      </c>
    </row>
    <row r="330" spans="1:14">
      <c r="A330" t="s">
        <v>14</v>
      </c>
      <c r="B330" t="str">
        <f>"120309200201"</f>
        <v>120309200201</v>
      </c>
      <c r="C330" t="s">
        <v>1004</v>
      </c>
      <c r="D330" t="s">
        <v>421</v>
      </c>
      <c r="G330" t="s">
        <v>32</v>
      </c>
      <c r="H330" t="s">
        <v>65</v>
      </c>
      <c r="I330" t="s">
        <v>108</v>
      </c>
      <c r="J330" t="s">
        <v>109</v>
      </c>
      <c r="K330" t="s">
        <v>712</v>
      </c>
      <c r="L330" t="s">
        <v>22</v>
      </c>
      <c r="M330" s="1">
        <v>37502</v>
      </c>
      <c r="N330">
        <v>2002</v>
      </c>
    </row>
    <row r="331" spans="1:14">
      <c r="A331" t="s">
        <v>14</v>
      </c>
      <c r="B331" t="str">
        <f>"122603200301"</f>
        <v>122603200301</v>
      </c>
      <c r="C331" t="s">
        <v>1083</v>
      </c>
      <c r="D331" t="s">
        <v>263</v>
      </c>
      <c r="G331" t="s">
        <v>32</v>
      </c>
      <c r="H331" t="s">
        <v>65</v>
      </c>
      <c r="I331" t="s">
        <v>108</v>
      </c>
      <c r="J331" t="s">
        <v>109</v>
      </c>
      <c r="K331" t="s">
        <v>176</v>
      </c>
      <c r="L331" t="s">
        <v>22</v>
      </c>
      <c r="M331" s="1">
        <v>37706</v>
      </c>
      <c r="N331">
        <v>2003</v>
      </c>
    </row>
    <row r="332" spans="1:14">
      <c r="A332" t="s">
        <v>14</v>
      </c>
      <c r="B332" t="str">
        <f>"120305200200"</f>
        <v>120305200200</v>
      </c>
      <c r="C332" t="s">
        <v>1208</v>
      </c>
      <c r="D332" t="s">
        <v>194</v>
      </c>
      <c r="G332" t="s">
        <v>32</v>
      </c>
      <c r="H332" t="s">
        <v>65</v>
      </c>
      <c r="I332" t="s">
        <v>108</v>
      </c>
      <c r="J332" t="s">
        <v>109</v>
      </c>
      <c r="K332" t="s">
        <v>1089</v>
      </c>
      <c r="L332" t="s">
        <v>22</v>
      </c>
      <c r="M332" s="1">
        <v>37379</v>
      </c>
      <c r="N332">
        <v>2002</v>
      </c>
    </row>
    <row r="333" spans="1:14">
      <c r="A333" t="s">
        <v>14</v>
      </c>
      <c r="B333" t="str">
        <f>"120107200201"</f>
        <v>120107200201</v>
      </c>
      <c r="C333" t="s">
        <v>1243</v>
      </c>
      <c r="D333" t="s">
        <v>58</v>
      </c>
      <c r="G333" t="s">
        <v>32</v>
      </c>
      <c r="H333" t="s">
        <v>65</v>
      </c>
      <c r="I333" t="s">
        <v>108</v>
      </c>
      <c r="J333" t="s">
        <v>109</v>
      </c>
      <c r="K333" t="s">
        <v>110</v>
      </c>
      <c r="L333" t="s">
        <v>22</v>
      </c>
      <c r="M333" s="1">
        <v>37438</v>
      </c>
      <c r="N333">
        <v>2002</v>
      </c>
    </row>
    <row r="334" spans="1:14">
      <c r="A334" t="s">
        <v>14</v>
      </c>
      <c r="B334" t="str">
        <f>"121407200300"</f>
        <v>121407200300</v>
      </c>
      <c r="C334" t="s">
        <v>1544</v>
      </c>
      <c r="D334" t="s">
        <v>233</v>
      </c>
      <c r="G334" t="s">
        <v>32</v>
      </c>
      <c r="H334" t="s">
        <v>65</v>
      </c>
      <c r="I334" t="s">
        <v>108</v>
      </c>
      <c r="J334" t="s">
        <v>109</v>
      </c>
      <c r="K334" t="s">
        <v>311</v>
      </c>
      <c r="L334" t="s">
        <v>22</v>
      </c>
      <c r="M334" s="1">
        <v>37816</v>
      </c>
      <c r="N334">
        <v>2003</v>
      </c>
    </row>
    <row r="335" spans="1:14">
      <c r="A335" t="s">
        <v>14</v>
      </c>
      <c r="B335" t="str">
        <f>"120211200200"</f>
        <v>120211200200</v>
      </c>
      <c r="C335" t="s">
        <v>1577</v>
      </c>
      <c r="D335" t="s">
        <v>203</v>
      </c>
      <c r="G335" t="s">
        <v>32</v>
      </c>
      <c r="H335" t="s">
        <v>65</v>
      </c>
      <c r="I335" t="s">
        <v>108</v>
      </c>
      <c r="J335" t="s">
        <v>109</v>
      </c>
      <c r="K335" t="s">
        <v>311</v>
      </c>
      <c r="L335" t="s">
        <v>22</v>
      </c>
      <c r="M335" s="1">
        <v>37562</v>
      </c>
      <c r="N335">
        <v>2002</v>
      </c>
    </row>
    <row r="336" spans="1:14">
      <c r="A336" t="s">
        <v>14</v>
      </c>
      <c r="B336" t="str">
        <f>"120402200300"</f>
        <v>120402200300</v>
      </c>
      <c r="C336" t="s">
        <v>1756</v>
      </c>
      <c r="D336" t="s">
        <v>233</v>
      </c>
      <c r="G336" t="s">
        <v>32</v>
      </c>
      <c r="H336" t="s">
        <v>65</v>
      </c>
      <c r="I336" t="s">
        <v>108</v>
      </c>
      <c r="J336" t="s">
        <v>109</v>
      </c>
      <c r="K336" t="s">
        <v>1592</v>
      </c>
      <c r="L336" t="s">
        <v>22</v>
      </c>
      <c r="M336" s="1">
        <v>37656</v>
      </c>
      <c r="N336">
        <v>2003</v>
      </c>
    </row>
    <row r="337" spans="1:14">
      <c r="A337" t="s">
        <v>14</v>
      </c>
      <c r="B337" t="str">
        <f>"120402200301"</f>
        <v>120402200301</v>
      </c>
      <c r="C337" t="s">
        <v>1756</v>
      </c>
      <c r="D337" t="s">
        <v>234</v>
      </c>
      <c r="G337" t="s">
        <v>32</v>
      </c>
      <c r="H337" t="s">
        <v>65</v>
      </c>
      <c r="I337" t="s">
        <v>108</v>
      </c>
      <c r="J337" t="s">
        <v>109</v>
      </c>
      <c r="K337" t="s">
        <v>1592</v>
      </c>
      <c r="L337" t="s">
        <v>22</v>
      </c>
      <c r="M337" s="1">
        <v>37656</v>
      </c>
      <c r="N337">
        <v>2003</v>
      </c>
    </row>
    <row r="338" spans="1:14">
      <c r="A338" t="s">
        <v>14</v>
      </c>
      <c r="B338" t="str">
        <f>"122304200300"</f>
        <v>122304200300</v>
      </c>
      <c r="C338" t="s">
        <v>1843</v>
      </c>
      <c r="D338" t="s">
        <v>198</v>
      </c>
      <c r="G338" t="s">
        <v>32</v>
      </c>
      <c r="H338" t="s">
        <v>65</v>
      </c>
      <c r="I338" t="s">
        <v>108</v>
      </c>
      <c r="J338" t="s">
        <v>109</v>
      </c>
      <c r="K338" t="s">
        <v>1592</v>
      </c>
      <c r="M338" s="1">
        <v>37734</v>
      </c>
      <c r="N338">
        <v>2003</v>
      </c>
    </row>
    <row r="339" spans="1:14">
      <c r="A339" t="s">
        <v>14</v>
      </c>
      <c r="B339" t="str">
        <f>"122602200301"</f>
        <v>122602200301</v>
      </c>
      <c r="C339" t="s">
        <v>1864</v>
      </c>
      <c r="D339" t="s">
        <v>380</v>
      </c>
      <c r="G339" t="s">
        <v>32</v>
      </c>
      <c r="H339" t="s">
        <v>65</v>
      </c>
      <c r="I339" t="s">
        <v>108</v>
      </c>
      <c r="J339" t="s">
        <v>109</v>
      </c>
      <c r="K339" t="s">
        <v>176</v>
      </c>
      <c r="L339" t="s">
        <v>22</v>
      </c>
      <c r="M339" s="1">
        <v>37678</v>
      </c>
      <c r="N339">
        <v>2003</v>
      </c>
    </row>
    <row r="340" spans="1:14">
      <c r="A340" t="s">
        <v>14</v>
      </c>
      <c r="B340" t="str">
        <f>"122602200302"</f>
        <v>122602200302</v>
      </c>
      <c r="C340" t="s">
        <v>1864</v>
      </c>
      <c r="D340" t="s">
        <v>205</v>
      </c>
      <c r="G340" t="s">
        <v>32</v>
      </c>
      <c r="H340" t="s">
        <v>65</v>
      </c>
      <c r="I340" t="s">
        <v>108</v>
      </c>
      <c r="J340" t="s">
        <v>109</v>
      </c>
      <c r="K340" t="s">
        <v>176</v>
      </c>
      <c r="M340" s="1">
        <v>37678</v>
      </c>
      <c r="N340">
        <v>2003</v>
      </c>
    </row>
    <row r="341" spans="1:14">
      <c r="A341" t="s">
        <v>14</v>
      </c>
      <c r="B341" t="str">
        <f>"120603200200"</f>
        <v>120603200200</v>
      </c>
      <c r="C341" t="s">
        <v>1887</v>
      </c>
      <c r="D341" t="s">
        <v>152</v>
      </c>
      <c r="G341" t="s">
        <v>32</v>
      </c>
      <c r="H341" t="s">
        <v>65</v>
      </c>
      <c r="I341" t="s">
        <v>108</v>
      </c>
      <c r="J341" t="s">
        <v>109</v>
      </c>
      <c r="K341" t="s">
        <v>132</v>
      </c>
      <c r="L341" t="s">
        <v>63</v>
      </c>
      <c r="M341" s="1">
        <v>37321</v>
      </c>
      <c r="N341">
        <v>2002</v>
      </c>
    </row>
    <row r="342" spans="1:14">
      <c r="A342" t="s">
        <v>14</v>
      </c>
      <c r="B342" t="str">
        <f>"120511200301"</f>
        <v>120511200301</v>
      </c>
      <c r="C342" t="s">
        <v>2252</v>
      </c>
      <c r="D342" t="s">
        <v>234</v>
      </c>
      <c r="G342" t="s">
        <v>32</v>
      </c>
      <c r="H342" t="s">
        <v>65</v>
      </c>
      <c r="I342" t="s">
        <v>108</v>
      </c>
      <c r="J342" t="s">
        <v>109</v>
      </c>
      <c r="K342" t="s">
        <v>250</v>
      </c>
      <c r="M342" s="1">
        <v>37930</v>
      </c>
      <c r="N342">
        <v>2003</v>
      </c>
    </row>
    <row r="343" spans="1:14">
      <c r="A343" t="s">
        <v>14</v>
      </c>
      <c r="B343" t="str">
        <f>"122009200200"</f>
        <v>122009200200</v>
      </c>
      <c r="C343" t="s">
        <v>2532</v>
      </c>
      <c r="D343" t="s">
        <v>310</v>
      </c>
      <c r="G343" t="s">
        <v>32</v>
      </c>
      <c r="H343" t="s">
        <v>65</v>
      </c>
      <c r="I343" t="s">
        <v>108</v>
      </c>
      <c r="J343" t="s">
        <v>109</v>
      </c>
      <c r="K343" t="s">
        <v>2533</v>
      </c>
      <c r="L343" t="s">
        <v>63</v>
      </c>
      <c r="M343" s="1">
        <v>37519</v>
      </c>
      <c r="N343">
        <v>2002</v>
      </c>
    </row>
    <row r="344" spans="1:14">
      <c r="A344" t="s">
        <v>14</v>
      </c>
      <c r="B344" t="str">
        <f>"121901200200"</f>
        <v>121901200200</v>
      </c>
      <c r="C344" t="s">
        <v>2841</v>
      </c>
      <c r="D344" t="s">
        <v>611</v>
      </c>
      <c r="G344" t="s">
        <v>32</v>
      </c>
      <c r="H344" t="s">
        <v>65</v>
      </c>
      <c r="I344" t="s">
        <v>108</v>
      </c>
      <c r="J344" t="s">
        <v>109</v>
      </c>
      <c r="K344" t="s">
        <v>132</v>
      </c>
      <c r="L344" t="s">
        <v>63</v>
      </c>
      <c r="M344" s="1">
        <v>37275</v>
      </c>
      <c r="N344">
        <v>2002</v>
      </c>
    </row>
    <row r="345" spans="1:14">
      <c r="A345" t="s">
        <v>14</v>
      </c>
      <c r="B345" t="str">
        <f>"120506199100"</f>
        <v>120506199100</v>
      </c>
      <c r="C345" t="s">
        <v>646</v>
      </c>
      <c r="D345" t="s">
        <v>524</v>
      </c>
      <c r="G345" t="s">
        <v>32</v>
      </c>
      <c r="H345" t="s">
        <v>59</v>
      </c>
      <c r="I345" t="s">
        <v>108</v>
      </c>
      <c r="J345" t="s">
        <v>109</v>
      </c>
      <c r="K345" t="s">
        <v>311</v>
      </c>
      <c r="L345" t="s">
        <v>48</v>
      </c>
      <c r="M345" s="1">
        <v>33394</v>
      </c>
      <c r="N345">
        <v>1991</v>
      </c>
    </row>
    <row r="346" spans="1:14">
      <c r="A346" t="s">
        <v>14</v>
      </c>
      <c r="B346" t="str">
        <f>"121710199500"</f>
        <v>121710199500</v>
      </c>
      <c r="C346" t="s">
        <v>786</v>
      </c>
      <c r="D346" t="s">
        <v>234</v>
      </c>
      <c r="G346" t="s">
        <v>32</v>
      </c>
      <c r="H346" t="s">
        <v>59</v>
      </c>
      <c r="I346" t="s">
        <v>108</v>
      </c>
      <c r="J346" t="s">
        <v>109</v>
      </c>
      <c r="K346" t="s">
        <v>132</v>
      </c>
      <c r="L346" t="s">
        <v>48</v>
      </c>
      <c r="M346" s="1">
        <v>34989</v>
      </c>
      <c r="N346">
        <v>1995</v>
      </c>
    </row>
    <row r="347" spans="1:14">
      <c r="A347" t="s">
        <v>14</v>
      </c>
      <c r="B347" t="str">
        <f>"120705199700"</f>
        <v>120705199700</v>
      </c>
      <c r="C347" t="s">
        <v>793</v>
      </c>
      <c r="D347" t="s">
        <v>310</v>
      </c>
      <c r="G347" t="s">
        <v>32</v>
      </c>
      <c r="H347" t="s">
        <v>59</v>
      </c>
      <c r="I347" t="s">
        <v>108</v>
      </c>
      <c r="J347" t="s">
        <v>109</v>
      </c>
      <c r="K347" t="s">
        <v>311</v>
      </c>
      <c r="L347" t="s">
        <v>48</v>
      </c>
      <c r="M347" s="1">
        <v>35557</v>
      </c>
      <c r="N347">
        <v>1997</v>
      </c>
    </row>
    <row r="348" spans="1:14">
      <c r="A348" t="s">
        <v>14</v>
      </c>
      <c r="B348" t="str">
        <f>"122607199701"</f>
        <v>122607199701</v>
      </c>
      <c r="C348" t="s">
        <v>967</v>
      </c>
      <c r="D348" t="s">
        <v>587</v>
      </c>
      <c r="G348" t="s">
        <v>32</v>
      </c>
      <c r="H348" t="s">
        <v>59</v>
      </c>
      <c r="I348" t="s">
        <v>108</v>
      </c>
      <c r="J348" t="s">
        <v>109</v>
      </c>
      <c r="K348" t="s">
        <v>968</v>
      </c>
      <c r="L348" t="s">
        <v>48</v>
      </c>
      <c r="M348" s="1">
        <v>35637</v>
      </c>
      <c r="N348">
        <v>1997</v>
      </c>
    </row>
    <row r="349" spans="1:14">
      <c r="A349" t="s">
        <v>14</v>
      </c>
      <c r="B349" t="str">
        <f>"120708199100"</f>
        <v>120708199100</v>
      </c>
      <c r="C349" t="s">
        <v>1581</v>
      </c>
      <c r="D349" t="s">
        <v>58</v>
      </c>
      <c r="G349" t="s">
        <v>32</v>
      </c>
      <c r="H349" t="s">
        <v>59</v>
      </c>
      <c r="I349" t="s">
        <v>108</v>
      </c>
      <c r="J349" t="s">
        <v>109</v>
      </c>
      <c r="K349" t="s">
        <v>311</v>
      </c>
      <c r="L349" t="s">
        <v>63</v>
      </c>
      <c r="M349" s="1">
        <v>33457</v>
      </c>
      <c r="N349">
        <v>1991</v>
      </c>
    </row>
    <row r="350" spans="1:14">
      <c r="A350" t="s">
        <v>14</v>
      </c>
      <c r="B350" t="str">
        <f>"121205199800"</f>
        <v>121205199800</v>
      </c>
      <c r="C350" t="s">
        <v>2178</v>
      </c>
      <c r="D350" t="s">
        <v>58</v>
      </c>
      <c r="G350" t="s">
        <v>32</v>
      </c>
      <c r="H350" t="s">
        <v>59</v>
      </c>
      <c r="I350" t="s">
        <v>108</v>
      </c>
      <c r="J350" t="s">
        <v>109</v>
      </c>
      <c r="K350" t="s">
        <v>132</v>
      </c>
      <c r="L350" t="s">
        <v>48</v>
      </c>
      <c r="M350" s="1">
        <v>35927</v>
      </c>
      <c r="N350">
        <v>1998</v>
      </c>
    </row>
    <row r="351" spans="1:14">
      <c r="A351" t="s">
        <v>14</v>
      </c>
      <c r="B351" t="str">
        <f>"123108199800"</f>
        <v>123108199800</v>
      </c>
      <c r="C351" t="s">
        <v>2601</v>
      </c>
      <c r="D351" t="s">
        <v>310</v>
      </c>
      <c r="G351" t="s">
        <v>32</v>
      </c>
      <c r="H351" t="s">
        <v>59</v>
      </c>
      <c r="I351" t="s">
        <v>108</v>
      </c>
      <c r="J351" t="s">
        <v>109</v>
      </c>
      <c r="K351" t="s">
        <v>968</v>
      </c>
      <c r="L351" t="s">
        <v>63</v>
      </c>
      <c r="M351" s="1">
        <v>36038</v>
      </c>
      <c r="N351">
        <v>1998</v>
      </c>
    </row>
    <row r="352" spans="1:14">
      <c r="A352" t="s">
        <v>14</v>
      </c>
      <c r="B352" t="str">
        <f>"122912199100"</f>
        <v>122912199100</v>
      </c>
      <c r="C352" t="s">
        <v>2933</v>
      </c>
      <c r="D352" t="s">
        <v>510</v>
      </c>
      <c r="G352" t="s">
        <v>32</v>
      </c>
      <c r="H352" t="s">
        <v>59</v>
      </c>
      <c r="I352" t="s">
        <v>108</v>
      </c>
      <c r="J352" t="s">
        <v>109</v>
      </c>
      <c r="K352" t="s">
        <v>311</v>
      </c>
      <c r="L352" t="s">
        <v>29</v>
      </c>
      <c r="M352" s="1">
        <v>33601</v>
      </c>
      <c r="N352">
        <v>1991</v>
      </c>
    </row>
    <row r="353" spans="1:14">
      <c r="A353" t="s">
        <v>14</v>
      </c>
      <c r="B353" t="str">
        <f>"120109199800"</f>
        <v>120109199800</v>
      </c>
      <c r="C353" t="s">
        <v>2946</v>
      </c>
      <c r="D353" t="s">
        <v>233</v>
      </c>
      <c r="G353" t="s">
        <v>32</v>
      </c>
      <c r="H353" t="s">
        <v>59</v>
      </c>
      <c r="I353" t="s">
        <v>108</v>
      </c>
      <c r="J353" t="s">
        <v>109</v>
      </c>
      <c r="K353" t="s">
        <v>132</v>
      </c>
      <c r="L353" t="s">
        <v>63</v>
      </c>
      <c r="M353" s="1">
        <v>36039</v>
      </c>
      <c r="N353">
        <v>1998</v>
      </c>
    </row>
    <row r="354" spans="1:14">
      <c r="A354" t="s">
        <v>14</v>
      </c>
      <c r="B354" t="str">
        <f>"120604199900"</f>
        <v>120604199900</v>
      </c>
      <c r="C354" t="s">
        <v>248</v>
      </c>
      <c r="D354" t="s">
        <v>249</v>
      </c>
      <c r="G354" t="s">
        <v>32</v>
      </c>
      <c r="H354" t="s">
        <v>44</v>
      </c>
      <c r="I354" t="s">
        <v>108</v>
      </c>
      <c r="J354" t="s">
        <v>109</v>
      </c>
      <c r="K354" t="s">
        <v>250</v>
      </c>
      <c r="L354" t="s">
        <v>22</v>
      </c>
      <c r="M354" s="1">
        <v>36256</v>
      </c>
      <c r="N354">
        <v>1999</v>
      </c>
    </row>
    <row r="355" spans="1:14">
      <c r="A355" t="s">
        <v>14</v>
      </c>
      <c r="B355" t="str">
        <f>"122204200000"</f>
        <v>122204200000</v>
      </c>
      <c r="C355" t="s">
        <v>554</v>
      </c>
      <c r="D355" t="s">
        <v>127</v>
      </c>
      <c r="G355" t="s">
        <v>32</v>
      </c>
      <c r="H355" t="s">
        <v>44</v>
      </c>
      <c r="I355" t="s">
        <v>108</v>
      </c>
      <c r="J355" t="s">
        <v>109</v>
      </c>
      <c r="K355" t="s">
        <v>311</v>
      </c>
      <c r="L355" t="s">
        <v>22</v>
      </c>
      <c r="M355" s="1">
        <v>36638</v>
      </c>
      <c r="N355">
        <v>2000</v>
      </c>
    </row>
    <row r="356" spans="1:14">
      <c r="A356" t="s">
        <v>14</v>
      </c>
      <c r="B356" t="str">
        <f>"122906199900"</f>
        <v>122906199900</v>
      </c>
      <c r="C356" t="s">
        <v>862</v>
      </c>
      <c r="D356" t="s">
        <v>64</v>
      </c>
      <c r="G356" t="s">
        <v>32</v>
      </c>
      <c r="H356" t="s">
        <v>44</v>
      </c>
      <c r="I356" t="s">
        <v>108</v>
      </c>
      <c r="J356" t="s">
        <v>109</v>
      </c>
      <c r="K356" t="s">
        <v>132</v>
      </c>
      <c r="L356" t="s">
        <v>63</v>
      </c>
      <c r="M356" s="1">
        <v>36340</v>
      </c>
      <c r="N356">
        <v>1999</v>
      </c>
    </row>
    <row r="357" spans="1:14">
      <c r="A357" t="s">
        <v>14</v>
      </c>
      <c r="B357" t="str">
        <f>"122009200102"</f>
        <v>122009200102</v>
      </c>
      <c r="C357" t="s">
        <v>951</v>
      </c>
      <c r="D357" t="s">
        <v>723</v>
      </c>
      <c r="G357" t="s">
        <v>32</v>
      </c>
      <c r="H357" t="s">
        <v>44</v>
      </c>
      <c r="I357" t="s">
        <v>108</v>
      </c>
      <c r="J357" t="s">
        <v>109</v>
      </c>
      <c r="K357" t="s">
        <v>952</v>
      </c>
      <c r="L357" t="s">
        <v>22</v>
      </c>
      <c r="M357" s="1">
        <v>37154</v>
      </c>
      <c r="N357">
        <v>2001</v>
      </c>
    </row>
    <row r="358" spans="1:14">
      <c r="A358" t="s">
        <v>14</v>
      </c>
      <c r="B358" t="str">
        <f>"122203200000"</f>
        <v>122203200000</v>
      </c>
      <c r="C358" t="s">
        <v>1306</v>
      </c>
      <c r="D358" t="s">
        <v>194</v>
      </c>
      <c r="G358" t="s">
        <v>32</v>
      </c>
      <c r="H358" t="s">
        <v>44</v>
      </c>
      <c r="I358" t="s">
        <v>108</v>
      </c>
      <c r="J358" t="s">
        <v>109</v>
      </c>
      <c r="K358" t="s">
        <v>311</v>
      </c>
      <c r="M358" s="1">
        <v>36607</v>
      </c>
      <c r="N358">
        <v>2000</v>
      </c>
    </row>
    <row r="359" spans="1:14">
      <c r="A359" t="s">
        <v>14</v>
      </c>
      <c r="B359" t="str">
        <f>"121209200002"</f>
        <v>121209200002</v>
      </c>
      <c r="C359" t="s">
        <v>1343</v>
      </c>
      <c r="D359" t="s">
        <v>493</v>
      </c>
      <c r="G359" t="s">
        <v>32</v>
      </c>
      <c r="H359" t="s">
        <v>44</v>
      </c>
      <c r="I359" t="s">
        <v>108</v>
      </c>
      <c r="J359" t="s">
        <v>109</v>
      </c>
      <c r="K359" t="s">
        <v>110</v>
      </c>
      <c r="L359" t="s">
        <v>22</v>
      </c>
      <c r="M359" s="1">
        <v>36781</v>
      </c>
      <c r="N359">
        <v>2000</v>
      </c>
    </row>
    <row r="360" spans="1:14">
      <c r="A360" t="s">
        <v>14</v>
      </c>
      <c r="B360" t="str">
        <f>"121510199900"</f>
        <v>121510199900</v>
      </c>
      <c r="C360" t="s">
        <v>1540</v>
      </c>
      <c r="D360" t="s">
        <v>184</v>
      </c>
      <c r="G360" t="s">
        <v>32</v>
      </c>
      <c r="H360" t="s">
        <v>44</v>
      </c>
      <c r="I360" t="s">
        <v>108</v>
      </c>
      <c r="J360" t="s">
        <v>109</v>
      </c>
      <c r="K360" t="s">
        <v>132</v>
      </c>
      <c r="L360" t="s">
        <v>48</v>
      </c>
      <c r="M360" s="1">
        <v>36448</v>
      </c>
      <c r="N360">
        <v>1999</v>
      </c>
    </row>
    <row r="361" spans="1:14">
      <c r="A361" t="s">
        <v>14</v>
      </c>
      <c r="B361" t="str">
        <f>"123103200001"</f>
        <v>123103200001</v>
      </c>
      <c r="C361" t="s">
        <v>1705</v>
      </c>
      <c r="D361" t="s">
        <v>233</v>
      </c>
      <c r="G361" t="s">
        <v>32</v>
      </c>
      <c r="H361" t="s">
        <v>44</v>
      </c>
      <c r="I361" t="s">
        <v>108</v>
      </c>
      <c r="J361" t="s">
        <v>109</v>
      </c>
      <c r="K361" t="s">
        <v>311</v>
      </c>
      <c r="L361" t="s">
        <v>63</v>
      </c>
      <c r="M361" s="1">
        <v>36616</v>
      </c>
      <c r="N361">
        <v>2000</v>
      </c>
    </row>
    <row r="362" spans="1:14">
      <c r="A362" t="s">
        <v>14</v>
      </c>
      <c r="B362" t="str">
        <f>"121311200100"</f>
        <v>121311200100</v>
      </c>
      <c r="C362" t="s">
        <v>1744</v>
      </c>
      <c r="D362" t="s">
        <v>1745</v>
      </c>
      <c r="G362" t="s">
        <v>32</v>
      </c>
      <c r="H362" t="s">
        <v>44</v>
      </c>
      <c r="I362" t="s">
        <v>108</v>
      </c>
      <c r="J362" t="s">
        <v>109</v>
      </c>
      <c r="K362" t="s">
        <v>311</v>
      </c>
      <c r="L362" t="s">
        <v>63</v>
      </c>
      <c r="M362" s="1">
        <v>37208</v>
      </c>
      <c r="N362">
        <v>2001</v>
      </c>
    </row>
    <row r="363" spans="1:14">
      <c r="A363" t="s">
        <v>14</v>
      </c>
      <c r="B363" t="str">
        <f>"120301200000"</f>
        <v>120301200000</v>
      </c>
      <c r="C363" t="s">
        <v>1835</v>
      </c>
      <c r="D363" t="s">
        <v>127</v>
      </c>
      <c r="G363" t="s">
        <v>32</v>
      </c>
      <c r="H363" t="s">
        <v>44</v>
      </c>
      <c r="I363" t="s">
        <v>108</v>
      </c>
      <c r="J363" t="s">
        <v>109</v>
      </c>
      <c r="K363" t="s">
        <v>1836</v>
      </c>
      <c r="L363" t="s">
        <v>22</v>
      </c>
      <c r="M363" s="1">
        <v>36528</v>
      </c>
      <c r="N363">
        <v>2000</v>
      </c>
    </row>
    <row r="364" spans="1:14">
      <c r="A364" t="s">
        <v>14</v>
      </c>
      <c r="B364" t="str">
        <f>"122408200000"</f>
        <v>122408200000</v>
      </c>
      <c r="C364" t="s">
        <v>1845</v>
      </c>
      <c r="D364" t="s">
        <v>1846</v>
      </c>
      <c r="G364" t="s">
        <v>32</v>
      </c>
      <c r="H364" t="s">
        <v>44</v>
      </c>
      <c r="I364" t="s">
        <v>108</v>
      </c>
      <c r="J364" t="s">
        <v>109</v>
      </c>
      <c r="K364" t="s">
        <v>311</v>
      </c>
      <c r="L364" t="s">
        <v>22</v>
      </c>
      <c r="M364" s="1">
        <v>36762</v>
      </c>
      <c r="N364">
        <v>2000</v>
      </c>
    </row>
    <row r="365" spans="1:14">
      <c r="A365" t="s">
        <v>14</v>
      </c>
      <c r="B365" t="str">
        <f>"121107200000"</f>
        <v>121107200000</v>
      </c>
      <c r="C365" t="s">
        <v>1885</v>
      </c>
      <c r="D365" t="s">
        <v>184</v>
      </c>
      <c r="G365" t="s">
        <v>32</v>
      </c>
      <c r="H365" t="s">
        <v>44</v>
      </c>
      <c r="I365" t="s">
        <v>108</v>
      </c>
      <c r="J365" t="s">
        <v>109</v>
      </c>
      <c r="K365" t="s">
        <v>1886</v>
      </c>
      <c r="L365" t="s">
        <v>22</v>
      </c>
      <c r="M365" s="1">
        <v>36718</v>
      </c>
      <c r="N365">
        <v>2000</v>
      </c>
    </row>
    <row r="366" spans="1:14">
      <c r="A366" t="s">
        <v>14</v>
      </c>
      <c r="B366" t="str">
        <f>"122806200100"</f>
        <v>122806200100</v>
      </c>
      <c r="C366" t="s">
        <v>1890</v>
      </c>
      <c r="D366" t="s">
        <v>203</v>
      </c>
      <c r="G366" t="s">
        <v>32</v>
      </c>
      <c r="H366" t="s">
        <v>44</v>
      </c>
      <c r="I366" t="s">
        <v>108</v>
      </c>
      <c r="J366" t="s">
        <v>109</v>
      </c>
      <c r="K366" t="s">
        <v>1089</v>
      </c>
      <c r="L366" t="s">
        <v>22</v>
      </c>
      <c r="M366" s="1">
        <v>37070</v>
      </c>
      <c r="N366">
        <v>2001</v>
      </c>
    </row>
    <row r="367" spans="1:14">
      <c r="A367" t="s">
        <v>14</v>
      </c>
      <c r="B367" t="str">
        <f>"122707200100"</f>
        <v>122707200100</v>
      </c>
      <c r="C367" t="s">
        <v>1988</v>
      </c>
      <c r="D367" t="s">
        <v>232</v>
      </c>
      <c r="G367" t="s">
        <v>32</v>
      </c>
      <c r="H367" t="s">
        <v>44</v>
      </c>
      <c r="I367" t="s">
        <v>108</v>
      </c>
      <c r="J367" t="s">
        <v>109</v>
      </c>
      <c r="K367" t="s">
        <v>1886</v>
      </c>
      <c r="M367" s="1">
        <v>37099</v>
      </c>
      <c r="N367">
        <v>2001</v>
      </c>
    </row>
    <row r="368" spans="1:14">
      <c r="A368" t="s">
        <v>14</v>
      </c>
      <c r="B368" t="str">
        <f>"121009199900"</f>
        <v>121009199900</v>
      </c>
      <c r="C368" t="s">
        <v>2042</v>
      </c>
      <c r="D368" t="s">
        <v>611</v>
      </c>
      <c r="G368" t="s">
        <v>32</v>
      </c>
      <c r="H368" t="s">
        <v>44</v>
      </c>
      <c r="I368" t="s">
        <v>108</v>
      </c>
      <c r="J368" t="s">
        <v>109</v>
      </c>
      <c r="K368" t="s">
        <v>176</v>
      </c>
      <c r="L368" t="s">
        <v>22</v>
      </c>
      <c r="M368" s="1">
        <v>36413</v>
      </c>
      <c r="N368">
        <v>1999</v>
      </c>
    </row>
    <row r="369" spans="1:14">
      <c r="A369" t="s">
        <v>14</v>
      </c>
      <c r="B369" t="str">
        <f>"121609200100"</f>
        <v>121609200100</v>
      </c>
      <c r="C369" t="s">
        <v>2067</v>
      </c>
      <c r="D369" t="s">
        <v>178</v>
      </c>
      <c r="G369" t="s">
        <v>32</v>
      </c>
      <c r="H369" t="s">
        <v>44</v>
      </c>
      <c r="I369" t="s">
        <v>108</v>
      </c>
      <c r="J369" t="s">
        <v>109</v>
      </c>
      <c r="K369" t="s">
        <v>1836</v>
      </c>
      <c r="L369" t="s">
        <v>63</v>
      </c>
      <c r="M369" s="1">
        <v>37150</v>
      </c>
      <c r="N369">
        <v>2001</v>
      </c>
    </row>
    <row r="370" spans="1:14">
      <c r="A370" t="s">
        <v>14</v>
      </c>
      <c r="B370" t="str">
        <f>"122212200001"</f>
        <v>122212200001</v>
      </c>
      <c r="C370" t="s">
        <v>2460</v>
      </c>
      <c r="D370" t="s">
        <v>609</v>
      </c>
      <c r="G370" t="s">
        <v>32</v>
      </c>
      <c r="H370" t="s">
        <v>44</v>
      </c>
      <c r="I370" t="s">
        <v>108</v>
      </c>
      <c r="J370" t="s">
        <v>109</v>
      </c>
      <c r="K370" t="s">
        <v>110</v>
      </c>
      <c r="L370" t="s">
        <v>22</v>
      </c>
      <c r="M370" s="1">
        <v>36882</v>
      </c>
      <c r="N370">
        <v>2000</v>
      </c>
    </row>
    <row r="371" spans="1:14">
      <c r="A371" t="s">
        <v>14</v>
      </c>
      <c r="B371" t="str">
        <f>"110504199800"</f>
        <v>110504199800</v>
      </c>
      <c r="C371" t="s">
        <v>343</v>
      </c>
      <c r="D371" t="s">
        <v>344</v>
      </c>
      <c r="G371" t="s">
        <v>17</v>
      </c>
      <c r="H371" t="s">
        <v>25</v>
      </c>
      <c r="I371" t="s">
        <v>108</v>
      </c>
      <c r="J371" t="s">
        <v>109</v>
      </c>
      <c r="K371" t="s">
        <v>311</v>
      </c>
      <c r="L371" t="s">
        <v>63</v>
      </c>
      <c r="M371" s="1">
        <v>35890</v>
      </c>
      <c r="N371">
        <v>1998</v>
      </c>
    </row>
    <row r="372" spans="1:14">
      <c r="A372" t="s">
        <v>14</v>
      </c>
      <c r="B372" t="str">
        <f>"111610199803"</f>
        <v>111610199803</v>
      </c>
      <c r="C372" t="s">
        <v>694</v>
      </c>
      <c r="D372" t="s">
        <v>373</v>
      </c>
      <c r="G372" t="s">
        <v>17</v>
      </c>
      <c r="H372" t="s">
        <v>25</v>
      </c>
      <c r="I372" t="s">
        <v>108</v>
      </c>
      <c r="J372" t="s">
        <v>109</v>
      </c>
      <c r="K372" t="s">
        <v>132</v>
      </c>
      <c r="L372" t="s">
        <v>22</v>
      </c>
      <c r="M372" s="1">
        <v>36084</v>
      </c>
      <c r="N372">
        <v>1998</v>
      </c>
    </row>
    <row r="373" spans="1:14">
      <c r="A373" t="s">
        <v>14</v>
      </c>
      <c r="B373" t="str">
        <f>"111202199801"</f>
        <v>111202199801</v>
      </c>
      <c r="C373" t="s">
        <v>780</v>
      </c>
      <c r="D373" t="s">
        <v>129</v>
      </c>
      <c r="G373" t="s">
        <v>17</v>
      </c>
      <c r="H373" t="s">
        <v>25</v>
      </c>
      <c r="I373" t="s">
        <v>108</v>
      </c>
      <c r="J373" t="s">
        <v>109</v>
      </c>
      <c r="K373" t="s">
        <v>132</v>
      </c>
      <c r="L373" t="s">
        <v>63</v>
      </c>
      <c r="M373" s="1">
        <v>35838</v>
      </c>
      <c r="N373">
        <v>1998</v>
      </c>
    </row>
    <row r="374" spans="1:14">
      <c r="A374" t="s">
        <v>14</v>
      </c>
      <c r="B374" t="str">
        <f>"110805198900"</f>
        <v>110805198900</v>
      </c>
      <c r="C374" t="s">
        <v>1468</v>
      </c>
      <c r="D374" t="s">
        <v>50</v>
      </c>
      <c r="G374" t="s">
        <v>17</v>
      </c>
      <c r="H374" t="s">
        <v>25</v>
      </c>
      <c r="I374" t="s">
        <v>108</v>
      </c>
      <c r="J374" t="s">
        <v>109</v>
      </c>
      <c r="K374" t="s">
        <v>132</v>
      </c>
      <c r="L374" t="s">
        <v>29</v>
      </c>
      <c r="M374" s="1">
        <v>32636</v>
      </c>
      <c r="N374">
        <v>1989</v>
      </c>
    </row>
    <row r="375" spans="1:14">
      <c r="A375" t="s">
        <v>14</v>
      </c>
      <c r="B375" t="str">
        <f>"110101199501"</f>
        <v>110101199501</v>
      </c>
      <c r="C375" t="s">
        <v>1558</v>
      </c>
      <c r="D375" t="s">
        <v>16</v>
      </c>
      <c r="G375" t="s">
        <v>17</v>
      </c>
      <c r="H375" t="s">
        <v>25</v>
      </c>
      <c r="I375" t="s">
        <v>108</v>
      </c>
      <c r="J375" t="s">
        <v>109</v>
      </c>
      <c r="K375" t="s">
        <v>311</v>
      </c>
      <c r="L375" t="s">
        <v>48</v>
      </c>
      <c r="M375" s="1">
        <v>34700</v>
      </c>
      <c r="N375">
        <v>1995</v>
      </c>
    </row>
    <row r="376" spans="1:14">
      <c r="A376" t="s">
        <v>14</v>
      </c>
      <c r="B376" t="str">
        <f>"111002199800"</f>
        <v>111002199800</v>
      </c>
      <c r="C376" t="s">
        <v>1656</v>
      </c>
      <c r="D376" t="s">
        <v>277</v>
      </c>
      <c r="G376" t="s">
        <v>17</v>
      </c>
      <c r="H376" t="s">
        <v>25</v>
      </c>
      <c r="I376" t="s">
        <v>108</v>
      </c>
      <c r="J376" t="s">
        <v>109</v>
      </c>
      <c r="K376" t="s">
        <v>1657</v>
      </c>
      <c r="L376" t="s">
        <v>22</v>
      </c>
      <c r="M376" s="1">
        <v>35836</v>
      </c>
      <c r="N376">
        <v>1998</v>
      </c>
    </row>
    <row r="377" spans="1:14">
      <c r="A377" t="s">
        <v>14</v>
      </c>
      <c r="B377" t="str">
        <f>"110807199200"</f>
        <v>110807199200</v>
      </c>
      <c r="C377" t="s">
        <v>1790</v>
      </c>
      <c r="D377" t="s">
        <v>902</v>
      </c>
      <c r="G377" t="s">
        <v>17</v>
      </c>
      <c r="H377" t="s">
        <v>25</v>
      </c>
      <c r="I377" t="s">
        <v>108</v>
      </c>
      <c r="J377" t="s">
        <v>109</v>
      </c>
      <c r="K377" t="s">
        <v>1791</v>
      </c>
      <c r="L377" t="s">
        <v>48</v>
      </c>
      <c r="M377" s="1">
        <v>33793</v>
      </c>
      <c r="N377">
        <v>1992</v>
      </c>
    </row>
    <row r="378" spans="1:14">
      <c r="A378" t="s">
        <v>14</v>
      </c>
      <c r="B378" t="str">
        <f>"112301199201"</f>
        <v>112301199201</v>
      </c>
      <c r="C378" t="s">
        <v>2023</v>
      </c>
      <c r="D378" t="s">
        <v>129</v>
      </c>
      <c r="G378" t="s">
        <v>17</v>
      </c>
      <c r="H378" t="s">
        <v>25</v>
      </c>
      <c r="I378" t="s">
        <v>108</v>
      </c>
      <c r="J378" t="s">
        <v>109</v>
      </c>
      <c r="K378" t="s">
        <v>132</v>
      </c>
      <c r="L378" t="s">
        <v>48</v>
      </c>
      <c r="M378" s="1">
        <v>33626</v>
      </c>
      <c r="N378">
        <v>1992</v>
      </c>
    </row>
    <row r="379" spans="1:14">
      <c r="A379" t="s">
        <v>14</v>
      </c>
      <c r="B379" t="str">
        <f>"111601198000"</f>
        <v>111601198000</v>
      </c>
      <c r="C379" t="s">
        <v>2329</v>
      </c>
      <c r="D379" t="s">
        <v>268</v>
      </c>
      <c r="G379" t="s">
        <v>17</v>
      </c>
      <c r="H379" t="s">
        <v>25</v>
      </c>
      <c r="I379" t="s">
        <v>108</v>
      </c>
      <c r="J379" t="s">
        <v>109</v>
      </c>
      <c r="K379" t="s">
        <v>132</v>
      </c>
      <c r="L379" t="s">
        <v>63</v>
      </c>
      <c r="M379" s="1">
        <v>29236</v>
      </c>
      <c r="N379">
        <v>1980</v>
      </c>
    </row>
    <row r="380" spans="1:14">
      <c r="A380" t="s">
        <v>14</v>
      </c>
      <c r="B380" t="str">
        <f>"111605200001"</f>
        <v>111605200001</v>
      </c>
      <c r="C380" t="s">
        <v>102</v>
      </c>
      <c r="D380" t="s">
        <v>107</v>
      </c>
      <c r="G380" t="s">
        <v>17</v>
      </c>
      <c r="H380" t="s">
        <v>18</v>
      </c>
      <c r="I380" t="s">
        <v>108</v>
      </c>
      <c r="J380" t="s">
        <v>109</v>
      </c>
      <c r="K380" t="s">
        <v>110</v>
      </c>
      <c r="L380" t="s">
        <v>22</v>
      </c>
      <c r="M380" s="1">
        <v>36662</v>
      </c>
      <c r="N380">
        <v>2000</v>
      </c>
    </row>
    <row r="381" spans="1:14">
      <c r="A381" t="s">
        <v>14</v>
      </c>
      <c r="B381" t="str">
        <f>"112404199901"</f>
        <v>112404199901</v>
      </c>
      <c r="C381" t="s">
        <v>131</v>
      </c>
      <c r="D381" t="s">
        <v>70</v>
      </c>
      <c r="G381" t="s">
        <v>17</v>
      </c>
      <c r="H381" t="s">
        <v>18</v>
      </c>
      <c r="I381" t="s">
        <v>108</v>
      </c>
      <c r="J381" t="s">
        <v>109</v>
      </c>
      <c r="K381" t="s">
        <v>132</v>
      </c>
      <c r="L381" t="s">
        <v>63</v>
      </c>
      <c r="M381" s="1">
        <v>36274</v>
      </c>
      <c r="N381">
        <v>1999</v>
      </c>
    </row>
    <row r="382" spans="1:14">
      <c r="A382" t="s">
        <v>14</v>
      </c>
      <c r="B382" t="str">
        <f>"112309199902"</f>
        <v>112309199902</v>
      </c>
      <c r="C382" t="s">
        <v>174</v>
      </c>
      <c r="D382" t="s">
        <v>175</v>
      </c>
      <c r="G382" t="s">
        <v>17</v>
      </c>
      <c r="H382" t="s">
        <v>18</v>
      </c>
      <c r="I382" t="s">
        <v>108</v>
      </c>
      <c r="J382" t="s">
        <v>109</v>
      </c>
      <c r="K382" t="s">
        <v>176</v>
      </c>
      <c r="L382" t="s">
        <v>22</v>
      </c>
      <c r="M382" s="1">
        <v>36426</v>
      </c>
      <c r="N382">
        <v>1999</v>
      </c>
    </row>
    <row r="383" spans="1:14">
      <c r="A383" t="s">
        <v>14</v>
      </c>
      <c r="B383" t="str">
        <f>"110604200000"</f>
        <v>110604200000</v>
      </c>
      <c r="C383" t="s">
        <v>244</v>
      </c>
      <c r="D383" t="s">
        <v>155</v>
      </c>
      <c r="G383" t="s">
        <v>17</v>
      </c>
      <c r="H383" t="s">
        <v>18</v>
      </c>
      <c r="I383" t="s">
        <v>108</v>
      </c>
      <c r="J383" t="s">
        <v>109</v>
      </c>
      <c r="K383" t="s">
        <v>176</v>
      </c>
      <c r="L383" t="s">
        <v>22</v>
      </c>
      <c r="M383" s="1">
        <v>36622</v>
      </c>
      <c r="N383">
        <v>2000</v>
      </c>
    </row>
    <row r="384" spans="1:14">
      <c r="A384" t="s">
        <v>14</v>
      </c>
      <c r="B384" t="str">
        <f>"112402200000"</f>
        <v>112402200000</v>
      </c>
      <c r="C384" t="s">
        <v>347</v>
      </c>
      <c r="D384" t="s">
        <v>209</v>
      </c>
      <c r="G384" t="s">
        <v>17</v>
      </c>
      <c r="H384" t="s">
        <v>18</v>
      </c>
      <c r="I384" t="s">
        <v>108</v>
      </c>
      <c r="J384" t="s">
        <v>109</v>
      </c>
      <c r="K384" t="s">
        <v>132</v>
      </c>
      <c r="L384" t="s">
        <v>63</v>
      </c>
      <c r="M384" s="1">
        <v>36580</v>
      </c>
      <c r="N384">
        <v>2000</v>
      </c>
    </row>
    <row r="385" spans="1:14">
      <c r="A385" t="s">
        <v>14</v>
      </c>
      <c r="B385" t="str">
        <f>"111912199900"</f>
        <v>111912199900</v>
      </c>
      <c r="C385" t="s">
        <v>672</v>
      </c>
      <c r="D385" t="s">
        <v>95</v>
      </c>
      <c r="G385" t="s">
        <v>17</v>
      </c>
      <c r="H385" t="s">
        <v>18</v>
      </c>
      <c r="I385" t="s">
        <v>108</v>
      </c>
      <c r="J385" t="s">
        <v>109</v>
      </c>
      <c r="K385" t="s">
        <v>311</v>
      </c>
      <c r="L385" t="s">
        <v>63</v>
      </c>
      <c r="M385" s="1">
        <v>36513</v>
      </c>
      <c r="N385">
        <v>1999</v>
      </c>
    </row>
    <row r="386" spans="1:14">
      <c r="A386" t="s">
        <v>14</v>
      </c>
      <c r="B386" t="str">
        <f>"112301200101"</f>
        <v>112301200101</v>
      </c>
      <c r="C386" t="s">
        <v>813</v>
      </c>
      <c r="D386" t="s">
        <v>70</v>
      </c>
      <c r="G386" t="s">
        <v>17</v>
      </c>
      <c r="H386" t="s">
        <v>18</v>
      </c>
      <c r="I386" t="s">
        <v>108</v>
      </c>
      <c r="J386" t="s">
        <v>109</v>
      </c>
      <c r="K386" t="s">
        <v>176</v>
      </c>
      <c r="L386" t="s">
        <v>22</v>
      </c>
      <c r="M386" s="1">
        <v>36914</v>
      </c>
      <c r="N386">
        <v>2001</v>
      </c>
    </row>
    <row r="387" spans="1:14">
      <c r="A387" t="s">
        <v>14</v>
      </c>
      <c r="B387" t="str">
        <f>"111503200001"</f>
        <v>111503200001</v>
      </c>
      <c r="C387" t="s">
        <v>1114</v>
      </c>
      <c r="D387" t="s">
        <v>221</v>
      </c>
      <c r="G387" t="s">
        <v>17</v>
      </c>
      <c r="H387" t="s">
        <v>18</v>
      </c>
      <c r="I387" t="s">
        <v>108</v>
      </c>
      <c r="J387" t="s">
        <v>109</v>
      </c>
      <c r="K387" t="s">
        <v>176</v>
      </c>
      <c r="L387" t="s">
        <v>22</v>
      </c>
      <c r="M387" s="1">
        <v>36600</v>
      </c>
      <c r="N387">
        <v>2000</v>
      </c>
    </row>
    <row r="388" spans="1:14">
      <c r="A388" t="s">
        <v>14</v>
      </c>
      <c r="B388" t="str">
        <f>"113001199900"</f>
        <v>113001199900</v>
      </c>
      <c r="C388" t="s">
        <v>1202</v>
      </c>
      <c r="D388" t="s">
        <v>259</v>
      </c>
      <c r="G388" t="s">
        <v>17</v>
      </c>
      <c r="H388" t="s">
        <v>18</v>
      </c>
      <c r="I388" t="s">
        <v>108</v>
      </c>
      <c r="J388" t="s">
        <v>109</v>
      </c>
      <c r="K388" t="s">
        <v>176</v>
      </c>
      <c r="L388" t="s">
        <v>63</v>
      </c>
      <c r="M388" s="1">
        <v>36190</v>
      </c>
      <c r="N388">
        <v>1999</v>
      </c>
    </row>
    <row r="389" spans="1:14">
      <c r="A389" t="s">
        <v>14</v>
      </c>
      <c r="B389" t="str">
        <f>"113004200100"</f>
        <v>113004200100</v>
      </c>
      <c r="C389" t="s">
        <v>1278</v>
      </c>
      <c r="D389" t="s">
        <v>129</v>
      </c>
      <c r="G389" t="s">
        <v>17</v>
      </c>
      <c r="H389" t="s">
        <v>18</v>
      </c>
      <c r="I389" t="s">
        <v>108</v>
      </c>
      <c r="J389" t="s">
        <v>109</v>
      </c>
      <c r="K389" t="s">
        <v>176</v>
      </c>
      <c r="L389" t="s">
        <v>22</v>
      </c>
      <c r="M389" s="1">
        <v>37011</v>
      </c>
      <c r="N389">
        <v>2001</v>
      </c>
    </row>
    <row r="390" spans="1:14">
      <c r="A390" t="s">
        <v>14</v>
      </c>
      <c r="B390" t="str">
        <f>"112605199902"</f>
        <v>112605199902</v>
      </c>
      <c r="C390" t="s">
        <v>1409</v>
      </c>
      <c r="D390" t="s">
        <v>24</v>
      </c>
      <c r="G390" t="s">
        <v>17</v>
      </c>
      <c r="H390" t="s">
        <v>18</v>
      </c>
      <c r="I390" t="s">
        <v>108</v>
      </c>
      <c r="J390" t="s">
        <v>109</v>
      </c>
      <c r="K390" t="s">
        <v>176</v>
      </c>
      <c r="L390" t="s">
        <v>22</v>
      </c>
      <c r="M390" s="1">
        <v>36306</v>
      </c>
      <c r="N390">
        <v>1999</v>
      </c>
    </row>
    <row r="391" spans="1:14">
      <c r="A391" t="s">
        <v>14</v>
      </c>
      <c r="B391" t="str">
        <f>"112502200000"</f>
        <v>112502200000</v>
      </c>
      <c r="C391" t="s">
        <v>1563</v>
      </c>
      <c r="D391" t="s">
        <v>24</v>
      </c>
      <c r="G391" t="s">
        <v>17</v>
      </c>
      <c r="H391" t="s">
        <v>18</v>
      </c>
      <c r="I391" t="s">
        <v>108</v>
      </c>
      <c r="J391" t="s">
        <v>109</v>
      </c>
      <c r="K391" t="s">
        <v>132</v>
      </c>
      <c r="L391" t="s">
        <v>22</v>
      </c>
      <c r="M391" s="1">
        <v>36581</v>
      </c>
      <c r="N391">
        <v>2000</v>
      </c>
    </row>
    <row r="392" spans="1:14">
      <c r="A392" t="s">
        <v>14</v>
      </c>
      <c r="B392" t="str">
        <f>"112504200002"</f>
        <v>112504200002</v>
      </c>
      <c r="C392" t="s">
        <v>1610</v>
      </c>
      <c r="D392" t="s">
        <v>53</v>
      </c>
      <c r="G392" t="s">
        <v>17</v>
      </c>
      <c r="H392" t="s">
        <v>18</v>
      </c>
      <c r="I392" t="s">
        <v>108</v>
      </c>
      <c r="J392" t="s">
        <v>109</v>
      </c>
      <c r="K392" t="s">
        <v>110</v>
      </c>
      <c r="L392" t="s">
        <v>22</v>
      </c>
      <c r="M392" s="1">
        <v>36641</v>
      </c>
      <c r="N392">
        <v>2000</v>
      </c>
    </row>
    <row r="393" spans="1:14">
      <c r="A393" t="s">
        <v>14</v>
      </c>
      <c r="B393" t="str">
        <f>"112908199900"</f>
        <v>112908199900</v>
      </c>
      <c r="C393" t="s">
        <v>1757</v>
      </c>
      <c r="D393" t="s">
        <v>136</v>
      </c>
      <c r="G393" t="s">
        <v>17</v>
      </c>
      <c r="H393" t="s">
        <v>18</v>
      </c>
      <c r="I393" t="s">
        <v>108</v>
      </c>
      <c r="J393" t="s">
        <v>109</v>
      </c>
      <c r="K393" t="s">
        <v>968</v>
      </c>
      <c r="L393" t="s">
        <v>63</v>
      </c>
      <c r="M393" s="1">
        <v>36401</v>
      </c>
      <c r="N393">
        <v>1999</v>
      </c>
    </row>
    <row r="394" spans="1:14">
      <c r="A394" t="s">
        <v>14</v>
      </c>
      <c r="B394" t="str">
        <f>"110502200000"</f>
        <v>110502200000</v>
      </c>
      <c r="C394" t="s">
        <v>1872</v>
      </c>
      <c r="D394" t="s">
        <v>129</v>
      </c>
      <c r="G394" t="s">
        <v>17</v>
      </c>
      <c r="H394" t="s">
        <v>18</v>
      </c>
      <c r="I394" t="s">
        <v>108</v>
      </c>
      <c r="J394" t="s">
        <v>109</v>
      </c>
      <c r="K394" t="s">
        <v>311</v>
      </c>
      <c r="L394" t="s">
        <v>22</v>
      </c>
      <c r="M394" s="1">
        <v>36561</v>
      </c>
      <c r="N394">
        <v>2000</v>
      </c>
    </row>
    <row r="395" spans="1:14">
      <c r="A395" t="s">
        <v>14</v>
      </c>
      <c r="B395" t="str">
        <f>"112104199900"</f>
        <v>112104199900</v>
      </c>
      <c r="C395" t="s">
        <v>1889</v>
      </c>
      <c r="D395" t="s">
        <v>283</v>
      </c>
      <c r="G395" t="s">
        <v>17</v>
      </c>
      <c r="H395" t="s">
        <v>18</v>
      </c>
      <c r="I395" t="s">
        <v>108</v>
      </c>
      <c r="J395" t="s">
        <v>109</v>
      </c>
      <c r="K395" t="s">
        <v>311</v>
      </c>
      <c r="L395" t="s">
        <v>63</v>
      </c>
      <c r="M395" s="1">
        <v>36271</v>
      </c>
      <c r="N395">
        <v>1999</v>
      </c>
    </row>
    <row r="396" spans="1:14">
      <c r="A396" t="s">
        <v>14</v>
      </c>
      <c r="B396" t="str">
        <f>"112209200001"</f>
        <v>112209200001</v>
      </c>
      <c r="C396" t="s">
        <v>1922</v>
      </c>
      <c r="D396" t="s">
        <v>221</v>
      </c>
      <c r="G396" t="s">
        <v>17</v>
      </c>
      <c r="H396" t="s">
        <v>18</v>
      </c>
      <c r="I396" t="s">
        <v>108</v>
      </c>
      <c r="J396" t="s">
        <v>109</v>
      </c>
      <c r="K396" t="s">
        <v>1886</v>
      </c>
      <c r="M396" s="1">
        <v>36791</v>
      </c>
      <c r="N396">
        <v>2000</v>
      </c>
    </row>
    <row r="397" spans="1:14">
      <c r="A397" t="s">
        <v>14</v>
      </c>
      <c r="B397" t="str">
        <f>"111501199901"</f>
        <v>111501199901</v>
      </c>
      <c r="C397" t="s">
        <v>1951</v>
      </c>
      <c r="D397" t="s">
        <v>1103</v>
      </c>
      <c r="G397" t="s">
        <v>17</v>
      </c>
      <c r="H397" t="s">
        <v>18</v>
      </c>
      <c r="I397" t="s">
        <v>108</v>
      </c>
      <c r="J397" t="s">
        <v>109</v>
      </c>
      <c r="K397" t="s">
        <v>176</v>
      </c>
      <c r="L397" t="s">
        <v>22</v>
      </c>
      <c r="M397" s="1">
        <v>36175</v>
      </c>
      <c r="N397">
        <v>1999</v>
      </c>
    </row>
    <row r="398" spans="1:14">
      <c r="A398" t="s">
        <v>14</v>
      </c>
      <c r="B398" t="str">
        <f>"110802199902"</f>
        <v>110802199902</v>
      </c>
      <c r="C398" t="s">
        <v>1983</v>
      </c>
      <c r="D398" t="s">
        <v>209</v>
      </c>
      <c r="G398" t="s">
        <v>17</v>
      </c>
      <c r="H398" t="s">
        <v>18</v>
      </c>
      <c r="I398" t="s">
        <v>108</v>
      </c>
      <c r="J398" t="s">
        <v>109</v>
      </c>
      <c r="K398" t="s">
        <v>176</v>
      </c>
      <c r="L398" t="s">
        <v>22</v>
      </c>
      <c r="M398" s="1">
        <v>36199</v>
      </c>
      <c r="N398">
        <v>1999</v>
      </c>
    </row>
    <row r="399" spans="1:14">
      <c r="A399" t="s">
        <v>14</v>
      </c>
      <c r="B399" t="str">
        <f>"110205200001"</f>
        <v>110205200001</v>
      </c>
      <c r="C399" t="s">
        <v>2036</v>
      </c>
      <c r="D399" t="s">
        <v>89</v>
      </c>
      <c r="G399" t="s">
        <v>17</v>
      </c>
      <c r="H399" t="s">
        <v>18</v>
      </c>
      <c r="I399" t="s">
        <v>108</v>
      </c>
      <c r="J399" t="s">
        <v>109</v>
      </c>
      <c r="K399" t="s">
        <v>132</v>
      </c>
      <c r="L399" t="s">
        <v>63</v>
      </c>
      <c r="M399" s="1">
        <v>36648</v>
      </c>
      <c r="N399">
        <v>2000</v>
      </c>
    </row>
    <row r="400" spans="1:14">
      <c r="A400" t="s">
        <v>14</v>
      </c>
      <c r="B400" t="str">
        <f>"111111200000"</f>
        <v>111111200000</v>
      </c>
      <c r="C400" t="s">
        <v>2094</v>
      </c>
      <c r="D400" t="s">
        <v>95</v>
      </c>
      <c r="G400" t="s">
        <v>17</v>
      </c>
      <c r="H400" t="s">
        <v>18</v>
      </c>
      <c r="I400" t="s">
        <v>108</v>
      </c>
      <c r="J400" t="s">
        <v>109</v>
      </c>
      <c r="K400" t="s">
        <v>311</v>
      </c>
      <c r="L400" t="s">
        <v>63</v>
      </c>
      <c r="M400" s="1">
        <v>36841</v>
      </c>
      <c r="N400">
        <v>2000</v>
      </c>
    </row>
    <row r="401" spans="1:14">
      <c r="A401" t="s">
        <v>14</v>
      </c>
      <c r="B401" t="str">
        <f>"111904200001"</f>
        <v>111904200001</v>
      </c>
      <c r="C401" t="s">
        <v>2124</v>
      </c>
      <c r="D401" t="s">
        <v>115</v>
      </c>
      <c r="G401" t="s">
        <v>17</v>
      </c>
      <c r="H401" t="s">
        <v>18</v>
      </c>
      <c r="I401" t="s">
        <v>108</v>
      </c>
      <c r="J401" t="s">
        <v>109</v>
      </c>
      <c r="K401" t="s">
        <v>1886</v>
      </c>
      <c r="L401" t="s">
        <v>22</v>
      </c>
      <c r="M401" s="1">
        <v>36635</v>
      </c>
      <c r="N401">
        <v>2000</v>
      </c>
    </row>
    <row r="402" spans="1:14">
      <c r="A402" t="s">
        <v>14</v>
      </c>
      <c r="B402" t="str">
        <f>"111605199900"</f>
        <v>111605199900</v>
      </c>
      <c r="C402" t="s">
        <v>2154</v>
      </c>
      <c r="D402" t="s">
        <v>283</v>
      </c>
      <c r="G402" t="s">
        <v>17</v>
      </c>
      <c r="H402" t="s">
        <v>18</v>
      </c>
      <c r="I402" t="s">
        <v>108</v>
      </c>
      <c r="J402" t="s">
        <v>109</v>
      </c>
      <c r="K402" t="s">
        <v>968</v>
      </c>
      <c r="L402" t="s">
        <v>22</v>
      </c>
      <c r="M402" s="1">
        <v>36296</v>
      </c>
      <c r="N402">
        <v>1999</v>
      </c>
    </row>
    <row r="403" spans="1:14">
      <c r="A403" t="s">
        <v>14</v>
      </c>
      <c r="B403" t="str">
        <f>"110202200101"</f>
        <v>110202200101</v>
      </c>
      <c r="C403" t="s">
        <v>2158</v>
      </c>
      <c r="D403" t="s">
        <v>16</v>
      </c>
      <c r="G403" t="s">
        <v>17</v>
      </c>
      <c r="H403" t="s">
        <v>18</v>
      </c>
      <c r="I403" t="s">
        <v>108</v>
      </c>
      <c r="J403" t="s">
        <v>109</v>
      </c>
      <c r="K403" t="s">
        <v>176</v>
      </c>
      <c r="L403" t="s">
        <v>22</v>
      </c>
      <c r="M403" s="1">
        <v>36924</v>
      </c>
      <c r="N403">
        <v>2001</v>
      </c>
    </row>
    <row r="404" spans="1:14">
      <c r="A404" t="s">
        <v>14</v>
      </c>
      <c r="B404" t="str">
        <f>"111411200000"</f>
        <v>111411200000</v>
      </c>
      <c r="C404" t="s">
        <v>2319</v>
      </c>
      <c r="D404" t="s">
        <v>209</v>
      </c>
      <c r="G404" t="s">
        <v>17</v>
      </c>
      <c r="H404" t="s">
        <v>18</v>
      </c>
      <c r="I404" t="s">
        <v>108</v>
      </c>
      <c r="J404" t="s">
        <v>109</v>
      </c>
      <c r="K404" t="s">
        <v>311</v>
      </c>
      <c r="L404" t="s">
        <v>63</v>
      </c>
      <c r="M404" s="1">
        <v>36844</v>
      </c>
      <c r="N404">
        <v>2000</v>
      </c>
    </row>
    <row r="405" spans="1:14">
      <c r="A405" t="s">
        <v>14</v>
      </c>
      <c r="B405" t="str">
        <f>"112409200104"</f>
        <v>112409200104</v>
      </c>
      <c r="C405" t="s">
        <v>2505</v>
      </c>
      <c r="D405" t="s">
        <v>277</v>
      </c>
      <c r="G405" t="s">
        <v>17</v>
      </c>
      <c r="H405" t="s">
        <v>18</v>
      </c>
      <c r="I405" t="s">
        <v>108</v>
      </c>
      <c r="J405" t="s">
        <v>109</v>
      </c>
      <c r="K405" t="s">
        <v>110</v>
      </c>
      <c r="L405" t="s">
        <v>22</v>
      </c>
      <c r="M405" s="1">
        <v>37158</v>
      </c>
      <c r="N405">
        <v>2001</v>
      </c>
    </row>
    <row r="406" spans="1:14">
      <c r="A406" t="s">
        <v>14</v>
      </c>
      <c r="B406" t="str">
        <f>"112409200103"</f>
        <v>112409200103</v>
      </c>
      <c r="C406" t="s">
        <v>2505</v>
      </c>
      <c r="D406" t="s">
        <v>902</v>
      </c>
      <c r="G406" t="s">
        <v>17</v>
      </c>
      <c r="H406" t="s">
        <v>18</v>
      </c>
      <c r="I406" t="s">
        <v>108</v>
      </c>
      <c r="J406" t="s">
        <v>109</v>
      </c>
      <c r="K406" t="s">
        <v>311</v>
      </c>
      <c r="L406" t="s">
        <v>22</v>
      </c>
      <c r="M406" s="1">
        <v>37158</v>
      </c>
      <c r="N406">
        <v>2001</v>
      </c>
    </row>
    <row r="407" spans="1:14">
      <c r="A407" t="s">
        <v>14</v>
      </c>
      <c r="B407" t="str">
        <f>"111205200000"</f>
        <v>111205200000</v>
      </c>
      <c r="C407" t="s">
        <v>2646</v>
      </c>
      <c r="D407" t="s">
        <v>129</v>
      </c>
      <c r="G407" t="s">
        <v>17</v>
      </c>
      <c r="H407" t="s">
        <v>18</v>
      </c>
      <c r="I407" t="s">
        <v>108</v>
      </c>
      <c r="J407" t="s">
        <v>109</v>
      </c>
      <c r="K407" t="s">
        <v>2647</v>
      </c>
      <c r="L407" t="s">
        <v>63</v>
      </c>
      <c r="M407" s="1">
        <v>36658</v>
      </c>
      <c r="N407">
        <v>2000</v>
      </c>
    </row>
    <row r="408" spans="1:14">
      <c r="A408" t="s">
        <v>14</v>
      </c>
      <c r="B408" t="str">
        <f>"111106200000"</f>
        <v>111106200000</v>
      </c>
      <c r="C408" t="s">
        <v>2710</v>
      </c>
      <c r="D408" t="s">
        <v>155</v>
      </c>
      <c r="G408" t="s">
        <v>17</v>
      </c>
      <c r="H408" t="s">
        <v>18</v>
      </c>
      <c r="I408" t="s">
        <v>108</v>
      </c>
      <c r="J408" t="s">
        <v>109</v>
      </c>
      <c r="K408" t="s">
        <v>176</v>
      </c>
      <c r="L408" t="s">
        <v>22</v>
      </c>
      <c r="M408" s="1">
        <v>36688</v>
      </c>
      <c r="N408">
        <v>2000</v>
      </c>
    </row>
    <row r="409" spans="1:14">
      <c r="A409" t="s">
        <v>14</v>
      </c>
      <c r="B409" t="str">
        <f>"112001200101"</f>
        <v>112001200101</v>
      </c>
      <c r="C409" t="s">
        <v>2782</v>
      </c>
      <c r="D409" t="s">
        <v>100</v>
      </c>
      <c r="G409" t="s">
        <v>17</v>
      </c>
      <c r="H409" t="s">
        <v>18</v>
      </c>
      <c r="I409" t="s">
        <v>108</v>
      </c>
      <c r="J409" t="s">
        <v>109</v>
      </c>
      <c r="K409" t="s">
        <v>2755</v>
      </c>
      <c r="L409" t="s">
        <v>22</v>
      </c>
      <c r="M409" s="1">
        <v>36911</v>
      </c>
      <c r="N409">
        <v>2001</v>
      </c>
    </row>
    <row r="410" spans="1:14">
      <c r="A410" t="s">
        <v>14</v>
      </c>
      <c r="B410" t="str">
        <f>"111612200100"</f>
        <v>111612200100</v>
      </c>
      <c r="C410" t="s">
        <v>2867</v>
      </c>
      <c r="D410" t="s">
        <v>155</v>
      </c>
      <c r="G410" t="s">
        <v>17</v>
      </c>
      <c r="H410" t="s">
        <v>18</v>
      </c>
      <c r="I410" t="s">
        <v>108</v>
      </c>
      <c r="J410" t="s">
        <v>109</v>
      </c>
      <c r="K410" t="s">
        <v>176</v>
      </c>
      <c r="L410" t="s">
        <v>63</v>
      </c>
      <c r="M410" s="1">
        <v>37241</v>
      </c>
      <c r="N410">
        <v>2001</v>
      </c>
    </row>
    <row r="411" spans="1:14">
      <c r="A411" t="s">
        <v>14</v>
      </c>
      <c r="B411" t="str">
        <f>"112705200401"</f>
        <v>112705200401</v>
      </c>
      <c r="C411" t="s">
        <v>527</v>
      </c>
      <c r="D411" t="s">
        <v>175</v>
      </c>
      <c r="G411" t="s">
        <v>17</v>
      </c>
      <c r="H411" t="s">
        <v>39</v>
      </c>
      <c r="I411" t="s">
        <v>108</v>
      </c>
      <c r="J411" t="s">
        <v>109</v>
      </c>
      <c r="K411" t="s">
        <v>132</v>
      </c>
      <c r="L411" t="s">
        <v>22</v>
      </c>
      <c r="M411" s="1">
        <v>38134</v>
      </c>
      <c r="N411">
        <v>2004</v>
      </c>
    </row>
    <row r="412" spans="1:14">
      <c r="A412" t="s">
        <v>14</v>
      </c>
      <c r="B412" t="str">
        <f>"112502200400"</f>
        <v>112502200400</v>
      </c>
      <c r="C412" t="s">
        <v>1591</v>
      </c>
      <c r="D412" t="s">
        <v>617</v>
      </c>
      <c r="G412" t="s">
        <v>17</v>
      </c>
      <c r="H412" t="s">
        <v>39</v>
      </c>
      <c r="I412" t="s">
        <v>108</v>
      </c>
      <c r="J412" t="s">
        <v>109</v>
      </c>
      <c r="K412" t="s">
        <v>1592</v>
      </c>
      <c r="L412" t="s">
        <v>22</v>
      </c>
      <c r="M412" s="1">
        <v>38042</v>
      </c>
      <c r="N412">
        <v>2004</v>
      </c>
    </row>
    <row r="413" spans="1:14">
      <c r="A413" t="s">
        <v>14</v>
      </c>
      <c r="B413" t="str">
        <f>"112705200402"</f>
        <v>112705200402</v>
      </c>
      <c r="C413" t="s">
        <v>1770</v>
      </c>
      <c r="D413" t="s">
        <v>24</v>
      </c>
      <c r="G413" t="s">
        <v>17</v>
      </c>
      <c r="H413" t="s">
        <v>39</v>
      </c>
      <c r="I413" t="s">
        <v>108</v>
      </c>
      <c r="J413" t="s">
        <v>109</v>
      </c>
      <c r="K413" t="s">
        <v>132</v>
      </c>
      <c r="L413" t="s">
        <v>22</v>
      </c>
      <c r="M413" s="1">
        <v>38134</v>
      </c>
      <c r="N413">
        <v>2004</v>
      </c>
    </row>
    <row r="414" spans="1:14">
      <c r="A414" t="s">
        <v>14</v>
      </c>
      <c r="B414" t="str">
        <f>"112804200400"</f>
        <v>112804200400</v>
      </c>
      <c r="C414" t="s">
        <v>1778</v>
      </c>
      <c r="D414" t="s">
        <v>115</v>
      </c>
      <c r="G414" t="s">
        <v>17</v>
      </c>
      <c r="H414" t="s">
        <v>39</v>
      </c>
      <c r="I414" t="s">
        <v>108</v>
      </c>
      <c r="J414" t="s">
        <v>109</v>
      </c>
      <c r="K414" t="s">
        <v>132</v>
      </c>
      <c r="L414" t="s">
        <v>22</v>
      </c>
      <c r="M414" s="1">
        <v>38105</v>
      </c>
      <c r="N414">
        <v>2004</v>
      </c>
    </row>
    <row r="415" spans="1:14">
      <c r="A415" t="s">
        <v>14</v>
      </c>
      <c r="B415" t="str">
        <f>"113009200400"</f>
        <v>113009200400</v>
      </c>
      <c r="C415" t="s">
        <v>1976</v>
      </c>
      <c r="D415" t="s">
        <v>344</v>
      </c>
      <c r="G415" t="s">
        <v>17</v>
      </c>
      <c r="H415" t="s">
        <v>39</v>
      </c>
      <c r="I415" t="s">
        <v>108</v>
      </c>
      <c r="J415" t="s">
        <v>109</v>
      </c>
      <c r="K415" t="s">
        <v>250</v>
      </c>
      <c r="L415" t="s">
        <v>22</v>
      </c>
      <c r="M415" s="1">
        <v>38260</v>
      </c>
      <c r="N415">
        <v>2004</v>
      </c>
    </row>
    <row r="416" spans="1:14">
      <c r="A416" t="s">
        <v>14</v>
      </c>
      <c r="B416" t="str">
        <f>"112501200400"</f>
        <v>112501200400</v>
      </c>
      <c r="C416" t="s">
        <v>1978</v>
      </c>
      <c r="D416" t="s">
        <v>100</v>
      </c>
      <c r="G416" t="s">
        <v>17</v>
      </c>
      <c r="H416" t="s">
        <v>39</v>
      </c>
      <c r="I416" t="s">
        <v>108</v>
      </c>
      <c r="J416" t="s">
        <v>109</v>
      </c>
      <c r="K416" t="s">
        <v>250</v>
      </c>
      <c r="L416" t="s">
        <v>22</v>
      </c>
      <c r="M416" s="1">
        <v>38011</v>
      </c>
      <c r="N416">
        <v>2004</v>
      </c>
    </row>
    <row r="417" spans="1:14">
      <c r="A417" t="s">
        <v>14</v>
      </c>
      <c r="B417" t="str">
        <f>"112007200401"</f>
        <v>112007200401</v>
      </c>
      <c r="C417" t="s">
        <v>2408</v>
      </c>
      <c r="D417" t="s">
        <v>98</v>
      </c>
      <c r="G417" t="s">
        <v>17</v>
      </c>
      <c r="H417" t="s">
        <v>39</v>
      </c>
      <c r="I417" t="s">
        <v>108</v>
      </c>
      <c r="J417" t="s">
        <v>109</v>
      </c>
      <c r="K417" t="s">
        <v>132</v>
      </c>
      <c r="L417" t="s">
        <v>22</v>
      </c>
      <c r="M417" s="1">
        <v>38188</v>
      </c>
      <c r="N417">
        <v>2004</v>
      </c>
    </row>
    <row r="418" spans="1:14">
      <c r="A418" t="s">
        <v>14</v>
      </c>
      <c r="B418" t="str">
        <f>"112109200401"</f>
        <v>112109200401</v>
      </c>
      <c r="C418" t="s">
        <v>2465</v>
      </c>
      <c r="D418" t="s">
        <v>181</v>
      </c>
      <c r="G418" t="s">
        <v>17</v>
      </c>
      <c r="H418" t="s">
        <v>39</v>
      </c>
      <c r="I418" t="s">
        <v>108</v>
      </c>
      <c r="J418" t="s">
        <v>109</v>
      </c>
      <c r="K418" t="s">
        <v>250</v>
      </c>
      <c r="L418" t="s">
        <v>22</v>
      </c>
      <c r="M418" s="1">
        <v>38251</v>
      </c>
      <c r="N418">
        <v>2004</v>
      </c>
    </row>
    <row r="419" spans="1:14">
      <c r="A419" t="s">
        <v>14</v>
      </c>
      <c r="B419" t="str">
        <f>"112702200402"</f>
        <v>112702200402</v>
      </c>
      <c r="C419" t="s">
        <v>2796</v>
      </c>
      <c r="D419" t="s">
        <v>181</v>
      </c>
      <c r="G419" t="s">
        <v>17</v>
      </c>
      <c r="H419" t="s">
        <v>39</v>
      </c>
      <c r="I419" t="s">
        <v>108</v>
      </c>
      <c r="J419" t="s">
        <v>109</v>
      </c>
      <c r="K419" t="s">
        <v>1089</v>
      </c>
      <c r="L419" t="s">
        <v>22</v>
      </c>
      <c r="M419" s="1">
        <v>38044</v>
      </c>
      <c r="N419">
        <v>2004</v>
      </c>
    </row>
    <row r="420" spans="1:14">
      <c r="A420" t="s">
        <v>14</v>
      </c>
      <c r="B420" t="str">
        <f>"111104200301"</f>
        <v>111104200301</v>
      </c>
      <c r="C420" t="s">
        <v>959</v>
      </c>
      <c r="D420" t="s">
        <v>155</v>
      </c>
      <c r="G420" t="s">
        <v>17</v>
      </c>
      <c r="H420" t="s">
        <v>51</v>
      </c>
      <c r="I420" t="s">
        <v>108</v>
      </c>
      <c r="J420" t="s">
        <v>109</v>
      </c>
      <c r="K420" t="s">
        <v>110</v>
      </c>
      <c r="L420" t="s">
        <v>22</v>
      </c>
      <c r="M420" s="1">
        <v>37722</v>
      </c>
      <c r="N420">
        <v>2003</v>
      </c>
    </row>
    <row r="421" spans="1:14">
      <c r="A421" t="s">
        <v>14</v>
      </c>
      <c r="B421" t="str">
        <f>"110504200300"</f>
        <v>110504200300</v>
      </c>
      <c r="C421" t="s">
        <v>1024</v>
      </c>
      <c r="D421" t="s">
        <v>95</v>
      </c>
      <c r="G421" t="s">
        <v>17</v>
      </c>
      <c r="H421" t="s">
        <v>51</v>
      </c>
      <c r="I421" t="s">
        <v>108</v>
      </c>
      <c r="J421" t="s">
        <v>109</v>
      </c>
      <c r="K421" t="s">
        <v>712</v>
      </c>
      <c r="M421" s="1">
        <v>37716</v>
      </c>
      <c r="N421">
        <v>2003</v>
      </c>
    </row>
    <row r="422" spans="1:14">
      <c r="A422" t="s">
        <v>14</v>
      </c>
      <c r="B422" t="str">
        <f>"110503200200"</f>
        <v>110503200200</v>
      </c>
      <c r="C422" t="s">
        <v>1087</v>
      </c>
      <c r="D422" t="s">
        <v>1088</v>
      </c>
      <c r="G422" t="s">
        <v>17</v>
      </c>
      <c r="H422" t="s">
        <v>51</v>
      </c>
      <c r="I422" t="s">
        <v>108</v>
      </c>
      <c r="J422" t="s">
        <v>109</v>
      </c>
      <c r="K422" t="s">
        <v>1089</v>
      </c>
      <c r="L422" t="s">
        <v>63</v>
      </c>
      <c r="M422" s="1">
        <v>37320</v>
      </c>
      <c r="N422">
        <v>2002</v>
      </c>
    </row>
    <row r="423" spans="1:14">
      <c r="A423" t="s">
        <v>14</v>
      </c>
      <c r="B423" t="str">
        <f>"111508200300"</f>
        <v>111508200300</v>
      </c>
      <c r="C423" t="s">
        <v>1279</v>
      </c>
      <c r="D423" t="s">
        <v>155</v>
      </c>
      <c r="G423" t="s">
        <v>17</v>
      </c>
      <c r="H423" t="s">
        <v>51</v>
      </c>
      <c r="I423" t="s">
        <v>108</v>
      </c>
      <c r="J423" t="s">
        <v>109</v>
      </c>
      <c r="K423" t="s">
        <v>1280</v>
      </c>
      <c r="L423" t="s">
        <v>22</v>
      </c>
      <c r="M423" s="1">
        <v>37848</v>
      </c>
      <c r="N423">
        <v>2003</v>
      </c>
    </row>
    <row r="424" spans="1:14">
      <c r="A424" t="s">
        <v>14</v>
      </c>
      <c r="B424" t="str">
        <f>"113001200200"</f>
        <v>113001200200</v>
      </c>
      <c r="C424" t="s">
        <v>1401</v>
      </c>
      <c r="D424" t="s">
        <v>373</v>
      </c>
      <c r="G424" t="s">
        <v>17</v>
      </c>
      <c r="H424" t="s">
        <v>51</v>
      </c>
      <c r="I424" t="s">
        <v>108</v>
      </c>
      <c r="J424" t="s">
        <v>109</v>
      </c>
      <c r="K424" t="s">
        <v>176</v>
      </c>
      <c r="L424" t="s">
        <v>22</v>
      </c>
      <c r="M424" s="1">
        <v>37286</v>
      </c>
      <c r="N424">
        <v>2002</v>
      </c>
    </row>
    <row r="425" spans="1:14">
      <c r="A425" t="s">
        <v>14</v>
      </c>
      <c r="B425" t="str">
        <f>"111902200302"</f>
        <v>111902200302</v>
      </c>
      <c r="C425" t="s">
        <v>1583</v>
      </c>
      <c r="D425" t="s">
        <v>89</v>
      </c>
      <c r="G425" t="s">
        <v>17</v>
      </c>
      <c r="H425" t="s">
        <v>51</v>
      </c>
      <c r="I425" t="s">
        <v>108</v>
      </c>
      <c r="J425" t="s">
        <v>109</v>
      </c>
      <c r="K425" t="s">
        <v>176</v>
      </c>
      <c r="L425" t="s">
        <v>22</v>
      </c>
      <c r="M425" s="1">
        <v>37671</v>
      </c>
      <c r="N425">
        <v>2003</v>
      </c>
    </row>
    <row r="426" spans="1:14">
      <c r="A426" t="s">
        <v>14</v>
      </c>
      <c r="B426" t="str">
        <f>"112002200200"</f>
        <v>112002200200</v>
      </c>
      <c r="C426" t="s">
        <v>1698</v>
      </c>
      <c r="D426" t="s">
        <v>342</v>
      </c>
      <c r="G426" t="s">
        <v>17</v>
      </c>
      <c r="H426" t="s">
        <v>51</v>
      </c>
      <c r="I426" t="s">
        <v>108</v>
      </c>
      <c r="J426" t="s">
        <v>109</v>
      </c>
      <c r="K426" t="s">
        <v>1089</v>
      </c>
      <c r="L426" t="s">
        <v>22</v>
      </c>
      <c r="M426" s="1">
        <v>37307</v>
      </c>
      <c r="N426">
        <v>2002</v>
      </c>
    </row>
    <row r="427" spans="1:14">
      <c r="A427" t="s">
        <v>14</v>
      </c>
      <c r="B427" t="str">
        <f>"110507200204"</f>
        <v>110507200204</v>
      </c>
      <c r="C427" t="s">
        <v>1841</v>
      </c>
      <c r="D427" t="s">
        <v>259</v>
      </c>
      <c r="G427" t="s">
        <v>17</v>
      </c>
      <c r="H427" t="s">
        <v>51</v>
      </c>
      <c r="I427" t="s">
        <v>108</v>
      </c>
      <c r="J427" t="s">
        <v>109</v>
      </c>
      <c r="K427" t="s">
        <v>1592</v>
      </c>
      <c r="M427" s="1">
        <v>37442</v>
      </c>
      <c r="N427">
        <v>2002</v>
      </c>
    </row>
    <row r="428" spans="1:14">
      <c r="A428" t="s">
        <v>14</v>
      </c>
      <c r="B428" t="str">
        <f>"112105200200"</f>
        <v>112105200200</v>
      </c>
      <c r="C428" t="s">
        <v>1851</v>
      </c>
      <c r="D428" t="s">
        <v>129</v>
      </c>
      <c r="G428" t="s">
        <v>17</v>
      </c>
      <c r="H428" t="s">
        <v>51</v>
      </c>
      <c r="I428" t="s">
        <v>108</v>
      </c>
      <c r="J428" t="s">
        <v>109</v>
      </c>
      <c r="K428" t="s">
        <v>311</v>
      </c>
      <c r="L428" t="s">
        <v>22</v>
      </c>
      <c r="M428" s="1">
        <v>37397</v>
      </c>
      <c r="N428">
        <v>2002</v>
      </c>
    </row>
    <row r="429" spans="1:14">
      <c r="A429" t="s">
        <v>14</v>
      </c>
      <c r="B429" t="str">
        <f>"112708200202"</f>
        <v>112708200202</v>
      </c>
      <c r="C429" t="s">
        <v>1870</v>
      </c>
      <c r="D429" t="s">
        <v>617</v>
      </c>
      <c r="G429" t="s">
        <v>17</v>
      </c>
      <c r="H429" t="s">
        <v>51</v>
      </c>
      <c r="I429" t="s">
        <v>108</v>
      </c>
      <c r="J429" t="s">
        <v>109</v>
      </c>
      <c r="K429" t="s">
        <v>1871</v>
      </c>
      <c r="L429" t="s">
        <v>22</v>
      </c>
      <c r="M429" s="1">
        <v>37495</v>
      </c>
      <c r="N429">
        <v>2002</v>
      </c>
    </row>
    <row r="430" spans="1:14">
      <c r="A430" t="s">
        <v>14</v>
      </c>
      <c r="B430" t="str">
        <f>"111603200200"</f>
        <v>111603200200</v>
      </c>
      <c r="C430" t="s">
        <v>1996</v>
      </c>
      <c r="D430" t="s">
        <v>782</v>
      </c>
      <c r="G430" t="s">
        <v>17</v>
      </c>
      <c r="H430" t="s">
        <v>51</v>
      </c>
      <c r="I430" t="s">
        <v>108</v>
      </c>
      <c r="J430" t="s">
        <v>109</v>
      </c>
      <c r="K430" t="s">
        <v>176</v>
      </c>
      <c r="L430" t="s">
        <v>22</v>
      </c>
      <c r="M430" s="1">
        <v>37331</v>
      </c>
      <c r="N430">
        <v>2002</v>
      </c>
    </row>
    <row r="431" spans="1:14">
      <c r="A431" t="s">
        <v>14</v>
      </c>
      <c r="B431" t="str">
        <f>"112209200200"</f>
        <v>112209200200</v>
      </c>
      <c r="C431" t="s">
        <v>2129</v>
      </c>
      <c r="D431" t="s">
        <v>53</v>
      </c>
      <c r="G431" t="s">
        <v>17</v>
      </c>
      <c r="H431" t="s">
        <v>51</v>
      </c>
      <c r="I431" t="s">
        <v>108</v>
      </c>
      <c r="J431" t="s">
        <v>109</v>
      </c>
      <c r="K431" t="s">
        <v>1886</v>
      </c>
      <c r="M431" s="1">
        <v>37521</v>
      </c>
      <c r="N431">
        <v>2002</v>
      </c>
    </row>
    <row r="432" spans="1:14">
      <c r="A432" t="s">
        <v>14</v>
      </c>
      <c r="B432" t="str">
        <f>"112004200300"</f>
        <v>112004200300</v>
      </c>
      <c r="C432" t="s">
        <v>2130</v>
      </c>
      <c r="D432" t="s">
        <v>373</v>
      </c>
      <c r="G432" t="s">
        <v>17</v>
      </c>
      <c r="H432" t="s">
        <v>51</v>
      </c>
      <c r="I432" t="s">
        <v>108</v>
      </c>
      <c r="J432" t="s">
        <v>109</v>
      </c>
      <c r="K432" t="s">
        <v>132</v>
      </c>
      <c r="L432" t="s">
        <v>22</v>
      </c>
      <c r="M432" s="1">
        <v>37731</v>
      </c>
      <c r="N432">
        <v>2003</v>
      </c>
    </row>
    <row r="433" spans="1:14">
      <c r="A433" t="s">
        <v>14</v>
      </c>
      <c r="B433" t="str">
        <f>"110308200200"</f>
        <v>110308200200</v>
      </c>
      <c r="C433" t="s">
        <v>2142</v>
      </c>
      <c r="D433" t="s">
        <v>155</v>
      </c>
      <c r="G433" t="s">
        <v>17</v>
      </c>
      <c r="H433" t="s">
        <v>51</v>
      </c>
      <c r="I433" t="s">
        <v>108</v>
      </c>
      <c r="J433" t="s">
        <v>109</v>
      </c>
      <c r="K433" t="s">
        <v>176</v>
      </c>
      <c r="L433" t="s">
        <v>22</v>
      </c>
      <c r="M433" s="1">
        <v>37471</v>
      </c>
      <c r="N433">
        <v>2002</v>
      </c>
    </row>
    <row r="434" spans="1:14">
      <c r="A434" t="s">
        <v>14</v>
      </c>
      <c r="B434" t="str">
        <f>"111205200301"</f>
        <v>111205200301</v>
      </c>
      <c r="C434" t="s">
        <v>2453</v>
      </c>
      <c r="D434" t="s">
        <v>100</v>
      </c>
      <c r="G434" t="s">
        <v>17</v>
      </c>
      <c r="H434" t="s">
        <v>51</v>
      </c>
      <c r="I434" t="s">
        <v>108</v>
      </c>
      <c r="J434" t="s">
        <v>109</v>
      </c>
      <c r="K434" t="s">
        <v>952</v>
      </c>
      <c r="L434" t="s">
        <v>22</v>
      </c>
      <c r="M434" s="1">
        <v>37753</v>
      </c>
      <c r="N434">
        <v>2003</v>
      </c>
    </row>
    <row r="435" spans="1:14">
      <c r="A435" t="s">
        <v>14</v>
      </c>
      <c r="B435" t="str">
        <f>"112503200301"</f>
        <v>112503200301</v>
      </c>
      <c r="C435" t="s">
        <v>2543</v>
      </c>
      <c r="D435" t="s">
        <v>342</v>
      </c>
      <c r="G435" t="s">
        <v>17</v>
      </c>
      <c r="H435" t="s">
        <v>51</v>
      </c>
      <c r="I435" t="s">
        <v>108</v>
      </c>
      <c r="J435" t="s">
        <v>109</v>
      </c>
      <c r="K435" t="s">
        <v>110</v>
      </c>
      <c r="L435" t="s">
        <v>22</v>
      </c>
      <c r="M435" s="1">
        <v>37705</v>
      </c>
      <c r="N435">
        <v>2003</v>
      </c>
    </row>
    <row r="436" spans="1:14">
      <c r="A436" t="s">
        <v>14</v>
      </c>
      <c r="B436" t="str">
        <f>"112610200200"</f>
        <v>112610200200</v>
      </c>
      <c r="C436" t="s">
        <v>2609</v>
      </c>
      <c r="D436" t="s">
        <v>590</v>
      </c>
      <c r="G436" t="s">
        <v>17</v>
      </c>
      <c r="H436" t="s">
        <v>51</v>
      </c>
      <c r="I436" t="s">
        <v>108</v>
      </c>
      <c r="J436" t="s">
        <v>109</v>
      </c>
      <c r="K436" t="s">
        <v>1089</v>
      </c>
      <c r="L436" t="s">
        <v>22</v>
      </c>
      <c r="M436" s="1">
        <v>37555</v>
      </c>
      <c r="N436">
        <v>2002</v>
      </c>
    </row>
    <row r="437" spans="1:14">
      <c r="A437" t="s">
        <v>14</v>
      </c>
      <c r="B437" t="str">
        <f>"110401200201"</f>
        <v>110401200201</v>
      </c>
      <c r="C437" t="s">
        <v>2703</v>
      </c>
      <c r="D437" t="s">
        <v>129</v>
      </c>
      <c r="G437" t="s">
        <v>17</v>
      </c>
      <c r="H437" t="s">
        <v>51</v>
      </c>
      <c r="I437" t="s">
        <v>108</v>
      </c>
      <c r="J437" t="s">
        <v>109</v>
      </c>
      <c r="K437" t="s">
        <v>1836</v>
      </c>
      <c r="L437" t="s">
        <v>22</v>
      </c>
      <c r="M437" s="1">
        <v>37260</v>
      </c>
      <c r="N437">
        <v>2002</v>
      </c>
    </row>
    <row r="438" spans="1:14">
      <c r="A438" t="s">
        <v>14</v>
      </c>
      <c r="B438" t="str">
        <f>"112105200201"</f>
        <v>112105200201</v>
      </c>
      <c r="C438" t="s">
        <v>2735</v>
      </c>
      <c r="D438" t="s">
        <v>259</v>
      </c>
      <c r="G438" t="s">
        <v>17</v>
      </c>
      <c r="H438" t="s">
        <v>51</v>
      </c>
      <c r="I438" t="s">
        <v>108</v>
      </c>
      <c r="J438" t="s">
        <v>109</v>
      </c>
      <c r="K438" t="s">
        <v>1836</v>
      </c>
      <c r="L438" t="s">
        <v>22</v>
      </c>
      <c r="M438" s="1">
        <v>37397</v>
      </c>
      <c r="N438">
        <v>2002</v>
      </c>
    </row>
    <row r="439" spans="1:14">
      <c r="A439" t="s">
        <v>14</v>
      </c>
      <c r="B439" t="str">
        <f>"110511200202"</f>
        <v>110511200202</v>
      </c>
      <c r="C439" t="s">
        <v>2754</v>
      </c>
      <c r="D439" t="s">
        <v>259</v>
      </c>
      <c r="G439" t="s">
        <v>17</v>
      </c>
      <c r="H439" t="s">
        <v>51</v>
      </c>
      <c r="I439" t="s">
        <v>108</v>
      </c>
      <c r="J439" t="s">
        <v>109</v>
      </c>
      <c r="K439" t="s">
        <v>2755</v>
      </c>
      <c r="M439" s="1">
        <v>37565</v>
      </c>
      <c r="N439">
        <v>2002</v>
      </c>
    </row>
    <row r="440" spans="1:14">
      <c r="A440" t="s">
        <v>14</v>
      </c>
      <c r="B440" t="str">
        <f>"111303200202"</f>
        <v>111303200202</v>
      </c>
      <c r="C440" t="s">
        <v>2830</v>
      </c>
      <c r="D440" t="s">
        <v>256</v>
      </c>
      <c r="G440" t="s">
        <v>17</v>
      </c>
      <c r="H440" t="s">
        <v>51</v>
      </c>
      <c r="I440" t="s">
        <v>108</v>
      </c>
      <c r="J440" t="s">
        <v>109</v>
      </c>
      <c r="K440" t="s">
        <v>1886</v>
      </c>
      <c r="M440" s="1">
        <v>37328</v>
      </c>
      <c r="N440">
        <v>2002</v>
      </c>
    </row>
    <row r="441" spans="1:14">
      <c r="A441" t="s">
        <v>14</v>
      </c>
      <c r="B441" t="str">
        <f>"113004200301"</f>
        <v>113004200301</v>
      </c>
      <c r="C441" t="s">
        <v>2887</v>
      </c>
      <c r="D441" t="s">
        <v>24</v>
      </c>
      <c r="G441" t="s">
        <v>17</v>
      </c>
      <c r="H441" t="s">
        <v>51</v>
      </c>
      <c r="I441" t="s">
        <v>108</v>
      </c>
      <c r="J441" t="s">
        <v>109</v>
      </c>
      <c r="K441" t="s">
        <v>176</v>
      </c>
      <c r="L441" t="s">
        <v>22</v>
      </c>
      <c r="M441" s="1">
        <v>37741</v>
      </c>
      <c r="N441">
        <v>2003</v>
      </c>
    </row>
    <row r="442" spans="1:14">
      <c r="A442" t="s">
        <v>14</v>
      </c>
      <c r="B442" t="str">
        <f>"120906200000"</f>
        <v>120906200000</v>
      </c>
      <c r="C442" t="s">
        <v>1454</v>
      </c>
      <c r="D442" t="s">
        <v>232</v>
      </c>
      <c r="G442" t="s">
        <v>32</v>
      </c>
      <c r="H442" t="s">
        <v>44</v>
      </c>
      <c r="I442" t="s">
        <v>1455</v>
      </c>
      <c r="J442" t="s">
        <v>109</v>
      </c>
      <c r="K442" t="s">
        <v>132</v>
      </c>
      <c r="L442" t="s">
        <v>22</v>
      </c>
      <c r="M442" s="1">
        <v>36686</v>
      </c>
      <c r="N442">
        <v>2000</v>
      </c>
    </row>
    <row r="443" spans="1:14">
      <c r="A443" t="s">
        <v>14</v>
      </c>
      <c r="B443" t="str">
        <f>"123005200401"</f>
        <v>123005200401</v>
      </c>
      <c r="C443" t="s">
        <v>2279</v>
      </c>
      <c r="D443" t="s">
        <v>184</v>
      </c>
      <c r="G443" t="s">
        <v>32</v>
      </c>
      <c r="H443" t="s">
        <v>33</v>
      </c>
      <c r="I443" t="s">
        <v>165</v>
      </c>
      <c r="J443" t="s">
        <v>166</v>
      </c>
      <c r="K443" t="s">
        <v>645</v>
      </c>
      <c r="M443" s="1">
        <v>38137</v>
      </c>
      <c r="N443">
        <v>2004</v>
      </c>
    </row>
    <row r="444" spans="1:14">
      <c r="A444" t="s">
        <v>14</v>
      </c>
      <c r="B444" t="str">
        <f>"121502200400"</f>
        <v>121502200400</v>
      </c>
      <c r="C444" t="s">
        <v>2846</v>
      </c>
      <c r="D444" t="s">
        <v>127</v>
      </c>
      <c r="G444" t="s">
        <v>32</v>
      </c>
      <c r="H444" t="s">
        <v>33</v>
      </c>
      <c r="I444" t="s">
        <v>165</v>
      </c>
      <c r="J444" t="s">
        <v>166</v>
      </c>
      <c r="K444" t="s">
        <v>645</v>
      </c>
      <c r="M444" s="1">
        <v>38032</v>
      </c>
      <c r="N444">
        <v>2004</v>
      </c>
    </row>
    <row r="445" spans="1:14">
      <c r="A445" t="s">
        <v>14</v>
      </c>
      <c r="B445" t="str">
        <f>"122003200200"</f>
        <v>122003200200</v>
      </c>
      <c r="C445" t="s">
        <v>1425</v>
      </c>
      <c r="D445" t="s">
        <v>205</v>
      </c>
      <c r="G445" t="s">
        <v>32</v>
      </c>
      <c r="H445" t="s">
        <v>65</v>
      </c>
      <c r="I445" t="s">
        <v>165</v>
      </c>
      <c r="J445" t="s">
        <v>166</v>
      </c>
      <c r="K445" t="s">
        <v>645</v>
      </c>
      <c r="M445" s="1">
        <v>37335</v>
      </c>
      <c r="N445">
        <v>2002</v>
      </c>
    </row>
    <row r="446" spans="1:14">
      <c r="A446" t="s">
        <v>14</v>
      </c>
      <c r="B446" t="str">
        <f>"121908200200"</f>
        <v>121908200200</v>
      </c>
      <c r="C446" t="s">
        <v>1963</v>
      </c>
      <c r="D446" t="s">
        <v>279</v>
      </c>
      <c r="G446" t="s">
        <v>32</v>
      </c>
      <c r="H446" t="s">
        <v>65</v>
      </c>
      <c r="I446" t="s">
        <v>165</v>
      </c>
      <c r="J446" t="s">
        <v>166</v>
      </c>
      <c r="K446" t="s">
        <v>645</v>
      </c>
      <c r="M446" s="1">
        <v>37487</v>
      </c>
      <c r="N446">
        <v>2002</v>
      </c>
    </row>
    <row r="447" spans="1:14">
      <c r="A447" t="s">
        <v>14</v>
      </c>
      <c r="B447" t="str">
        <f>"121709200302"</f>
        <v>121709200302</v>
      </c>
      <c r="C447" t="s">
        <v>2190</v>
      </c>
      <c r="D447" t="s">
        <v>203</v>
      </c>
      <c r="G447" t="s">
        <v>32</v>
      </c>
      <c r="H447" t="s">
        <v>65</v>
      </c>
      <c r="I447" t="s">
        <v>165</v>
      </c>
      <c r="J447" t="s">
        <v>166</v>
      </c>
      <c r="K447" t="s">
        <v>645</v>
      </c>
      <c r="M447" s="1">
        <v>37881</v>
      </c>
      <c r="N447">
        <v>2003</v>
      </c>
    </row>
    <row r="448" spans="1:14">
      <c r="A448" t="s">
        <v>14</v>
      </c>
      <c r="B448" t="str">
        <f>"120703200300"</f>
        <v>120703200300</v>
      </c>
      <c r="C448" t="s">
        <v>2454</v>
      </c>
      <c r="D448" t="s">
        <v>127</v>
      </c>
      <c r="G448" t="s">
        <v>32</v>
      </c>
      <c r="H448" t="s">
        <v>65</v>
      </c>
      <c r="I448" t="s">
        <v>165</v>
      </c>
      <c r="J448" t="s">
        <v>166</v>
      </c>
      <c r="K448" t="s">
        <v>645</v>
      </c>
      <c r="M448" s="1">
        <v>37687</v>
      </c>
      <c r="N448">
        <v>2003</v>
      </c>
    </row>
    <row r="449" spans="1:14">
      <c r="A449" t="s">
        <v>14</v>
      </c>
      <c r="B449" t="str">
        <f>"122011199600"</f>
        <v>122011199600</v>
      </c>
      <c r="C449" t="s">
        <v>610</v>
      </c>
      <c r="D449" t="s">
        <v>611</v>
      </c>
      <c r="G449" t="s">
        <v>32</v>
      </c>
      <c r="H449" t="s">
        <v>59</v>
      </c>
      <c r="I449" t="s">
        <v>165</v>
      </c>
      <c r="J449" t="s">
        <v>166</v>
      </c>
      <c r="K449" t="s">
        <v>167</v>
      </c>
      <c r="L449" t="s">
        <v>22</v>
      </c>
      <c r="M449" s="1">
        <v>35389</v>
      </c>
      <c r="N449">
        <v>1996</v>
      </c>
    </row>
    <row r="450" spans="1:14">
      <c r="A450" t="s">
        <v>14</v>
      </c>
      <c r="B450" t="str">
        <f>"120901199800"</f>
        <v>120901199800</v>
      </c>
      <c r="C450" t="s">
        <v>2161</v>
      </c>
      <c r="D450" t="s">
        <v>1580</v>
      </c>
      <c r="G450" t="s">
        <v>32</v>
      </c>
      <c r="H450" t="s">
        <v>59</v>
      </c>
      <c r="I450" t="s">
        <v>165</v>
      </c>
      <c r="J450" t="s">
        <v>166</v>
      </c>
      <c r="K450" t="s">
        <v>167</v>
      </c>
      <c r="L450" t="s">
        <v>22</v>
      </c>
      <c r="M450" s="1">
        <v>35804</v>
      </c>
      <c r="N450">
        <v>1998</v>
      </c>
    </row>
    <row r="451" spans="1:14">
      <c r="A451" t="s">
        <v>14</v>
      </c>
      <c r="B451" t="str">
        <f>"121811200100"</f>
        <v>121811200100</v>
      </c>
      <c r="C451" t="s">
        <v>1454</v>
      </c>
      <c r="D451" t="s">
        <v>310</v>
      </c>
      <c r="G451" t="s">
        <v>32</v>
      </c>
      <c r="H451" t="s">
        <v>44</v>
      </c>
      <c r="I451" t="s">
        <v>165</v>
      </c>
      <c r="J451" t="s">
        <v>166</v>
      </c>
      <c r="K451" t="s">
        <v>645</v>
      </c>
      <c r="M451" s="1">
        <v>37213</v>
      </c>
      <c r="N451">
        <v>2001</v>
      </c>
    </row>
    <row r="452" spans="1:14">
      <c r="A452" t="s">
        <v>14</v>
      </c>
      <c r="B452" t="str">
        <f>"122705200101"</f>
        <v>122705200101</v>
      </c>
      <c r="C452" t="s">
        <v>2279</v>
      </c>
      <c r="D452" t="s">
        <v>127</v>
      </c>
      <c r="G452" t="s">
        <v>32</v>
      </c>
      <c r="H452" t="s">
        <v>44</v>
      </c>
      <c r="I452" t="s">
        <v>165</v>
      </c>
      <c r="J452" t="s">
        <v>166</v>
      </c>
      <c r="K452" t="s">
        <v>167</v>
      </c>
      <c r="M452" s="1">
        <v>37038</v>
      </c>
      <c r="N452">
        <v>2001</v>
      </c>
    </row>
    <row r="453" spans="1:14">
      <c r="A453" t="s">
        <v>14</v>
      </c>
      <c r="B453" t="str">
        <f>"110101199802"</f>
        <v>110101199802</v>
      </c>
      <c r="C453" t="s">
        <v>2031</v>
      </c>
      <c r="D453" t="s">
        <v>2032</v>
      </c>
      <c r="G453" t="s">
        <v>17</v>
      </c>
      <c r="H453" t="s">
        <v>25</v>
      </c>
      <c r="I453" t="s">
        <v>165</v>
      </c>
      <c r="J453" t="s">
        <v>166</v>
      </c>
      <c r="K453" t="s">
        <v>167</v>
      </c>
      <c r="L453" t="s">
        <v>22</v>
      </c>
      <c r="M453" s="1">
        <v>35796</v>
      </c>
      <c r="N453">
        <v>1998</v>
      </c>
    </row>
    <row r="454" spans="1:14">
      <c r="A454" t="s">
        <v>14</v>
      </c>
      <c r="B454" t="str">
        <f>"112609199500"</f>
        <v>112609199500</v>
      </c>
      <c r="C454" t="s">
        <v>2055</v>
      </c>
      <c r="D454" t="s">
        <v>886</v>
      </c>
      <c r="G454" t="s">
        <v>17</v>
      </c>
      <c r="H454" t="s">
        <v>25</v>
      </c>
      <c r="I454" t="s">
        <v>165</v>
      </c>
      <c r="J454" t="s">
        <v>166</v>
      </c>
      <c r="K454" t="s">
        <v>2056</v>
      </c>
      <c r="L454" t="s">
        <v>48</v>
      </c>
      <c r="M454" s="1">
        <v>34968</v>
      </c>
      <c r="N454">
        <v>1995</v>
      </c>
    </row>
    <row r="455" spans="1:14">
      <c r="A455" t="s">
        <v>14</v>
      </c>
      <c r="B455" t="str">
        <f>"111506199700"</f>
        <v>111506199700</v>
      </c>
      <c r="C455" t="s">
        <v>2453</v>
      </c>
      <c r="D455" t="s">
        <v>1970</v>
      </c>
      <c r="G455" t="s">
        <v>17</v>
      </c>
      <c r="H455" t="s">
        <v>25</v>
      </c>
      <c r="I455" t="s">
        <v>165</v>
      </c>
      <c r="J455" t="s">
        <v>166</v>
      </c>
      <c r="K455" t="s">
        <v>645</v>
      </c>
      <c r="L455" t="s">
        <v>63</v>
      </c>
      <c r="M455" s="1">
        <v>35596</v>
      </c>
      <c r="N455">
        <v>1997</v>
      </c>
    </row>
    <row r="456" spans="1:14">
      <c r="A456" t="s">
        <v>14</v>
      </c>
      <c r="B456" t="str">
        <f>"112701199600"</f>
        <v>112701199600</v>
      </c>
      <c r="C456" t="s">
        <v>2797</v>
      </c>
      <c r="D456" t="s">
        <v>268</v>
      </c>
      <c r="G456" t="s">
        <v>17</v>
      </c>
      <c r="H456" t="s">
        <v>25</v>
      </c>
      <c r="I456" t="s">
        <v>165</v>
      </c>
      <c r="J456" t="s">
        <v>166</v>
      </c>
      <c r="K456" t="s">
        <v>167</v>
      </c>
      <c r="L456" t="s">
        <v>48</v>
      </c>
      <c r="M456" s="1">
        <v>35091</v>
      </c>
      <c r="N456">
        <v>1996</v>
      </c>
    </row>
    <row r="457" spans="1:14">
      <c r="A457" t="s">
        <v>14</v>
      </c>
      <c r="B457" t="str">
        <f>"111905199901"</f>
        <v>111905199901</v>
      </c>
      <c r="C457" t="s">
        <v>164</v>
      </c>
      <c r="D457" t="s">
        <v>16</v>
      </c>
      <c r="G457" t="s">
        <v>17</v>
      </c>
      <c r="H457" t="s">
        <v>18</v>
      </c>
      <c r="I457" t="s">
        <v>165</v>
      </c>
      <c r="J457" t="s">
        <v>166</v>
      </c>
      <c r="K457" t="s">
        <v>167</v>
      </c>
      <c r="L457" t="s">
        <v>22</v>
      </c>
      <c r="M457" s="1">
        <v>36299</v>
      </c>
      <c r="N457">
        <v>1999</v>
      </c>
    </row>
    <row r="458" spans="1:14">
      <c r="A458" t="s">
        <v>14</v>
      </c>
      <c r="B458" t="str">
        <f>"112403199900"</f>
        <v>112403199900</v>
      </c>
      <c r="C458" t="s">
        <v>414</v>
      </c>
      <c r="D458" t="s">
        <v>373</v>
      </c>
      <c r="G458" t="s">
        <v>17</v>
      </c>
      <c r="H458" t="s">
        <v>18</v>
      </c>
      <c r="I458" t="s">
        <v>165</v>
      </c>
      <c r="J458" t="s">
        <v>166</v>
      </c>
      <c r="K458" t="s">
        <v>167</v>
      </c>
      <c r="L458" t="s">
        <v>22</v>
      </c>
      <c r="M458" s="1">
        <v>36243</v>
      </c>
      <c r="N458">
        <v>1999</v>
      </c>
    </row>
    <row r="459" spans="1:14">
      <c r="A459" t="s">
        <v>14</v>
      </c>
      <c r="B459" t="str">
        <f>"110404200000"</f>
        <v>110404200000</v>
      </c>
      <c r="C459" t="s">
        <v>1213</v>
      </c>
      <c r="D459" t="s">
        <v>115</v>
      </c>
      <c r="G459" t="s">
        <v>17</v>
      </c>
      <c r="H459" t="s">
        <v>18</v>
      </c>
      <c r="I459" t="s">
        <v>165</v>
      </c>
      <c r="J459" t="s">
        <v>166</v>
      </c>
      <c r="K459" t="s">
        <v>167</v>
      </c>
      <c r="L459" t="s">
        <v>22</v>
      </c>
      <c r="M459" s="1">
        <v>36620</v>
      </c>
      <c r="N459">
        <v>2000</v>
      </c>
    </row>
    <row r="460" spans="1:14">
      <c r="A460" t="s">
        <v>14</v>
      </c>
      <c r="B460" t="str">
        <f>"112003200100"</f>
        <v>112003200100</v>
      </c>
      <c r="C460" t="s">
        <v>1767</v>
      </c>
      <c r="D460" t="s">
        <v>617</v>
      </c>
      <c r="G460" t="s">
        <v>17</v>
      </c>
      <c r="H460" t="s">
        <v>18</v>
      </c>
      <c r="I460" t="s">
        <v>165</v>
      </c>
      <c r="J460" t="s">
        <v>166</v>
      </c>
      <c r="K460" t="s">
        <v>167</v>
      </c>
      <c r="L460" t="s">
        <v>22</v>
      </c>
      <c r="M460" s="1">
        <v>36970</v>
      </c>
      <c r="N460">
        <v>2001</v>
      </c>
    </row>
    <row r="461" spans="1:14">
      <c r="A461" t="s">
        <v>14</v>
      </c>
      <c r="B461" t="str">
        <f>"110212200003"</f>
        <v>110212200003</v>
      </c>
      <c r="C461" t="s">
        <v>2387</v>
      </c>
      <c r="D461" t="s">
        <v>209</v>
      </c>
      <c r="G461" t="s">
        <v>17</v>
      </c>
      <c r="H461" t="s">
        <v>18</v>
      </c>
      <c r="I461" t="s">
        <v>165</v>
      </c>
      <c r="J461" t="s">
        <v>166</v>
      </c>
      <c r="K461" t="s">
        <v>645</v>
      </c>
      <c r="M461" s="1">
        <v>36862</v>
      </c>
      <c r="N461">
        <v>2000</v>
      </c>
    </row>
    <row r="462" spans="1:14">
      <c r="A462" t="s">
        <v>14</v>
      </c>
      <c r="B462" t="str">
        <f>"110206200000"</f>
        <v>110206200000</v>
      </c>
      <c r="C462" t="s">
        <v>2582</v>
      </c>
      <c r="D462" t="s">
        <v>259</v>
      </c>
      <c r="G462" t="s">
        <v>17</v>
      </c>
      <c r="H462" t="s">
        <v>18</v>
      </c>
      <c r="I462" t="s">
        <v>165</v>
      </c>
      <c r="J462" t="s">
        <v>166</v>
      </c>
      <c r="K462" t="s">
        <v>645</v>
      </c>
      <c r="M462" s="1">
        <v>36679</v>
      </c>
      <c r="N462">
        <v>2000</v>
      </c>
    </row>
    <row r="463" spans="1:14">
      <c r="A463" t="s">
        <v>14</v>
      </c>
      <c r="B463" t="str">
        <f>"112810200401"</f>
        <v>112810200401</v>
      </c>
      <c r="C463" t="s">
        <v>832</v>
      </c>
      <c r="D463" t="s">
        <v>136</v>
      </c>
      <c r="G463" t="s">
        <v>17</v>
      </c>
      <c r="H463" t="s">
        <v>39</v>
      </c>
      <c r="I463" t="s">
        <v>165</v>
      </c>
      <c r="J463" t="s">
        <v>166</v>
      </c>
      <c r="K463" t="s">
        <v>645</v>
      </c>
      <c r="M463" s="1">
        <v>38288</v>
      </c>
      <c r="N463">
        <v>2004</v>
      </c>
    </row>
    <row r="464" spans="1:14">
      <c r="A464" t="s">
        <v>14</v>
      </c>
      <c r="B464" t="str">
        <f>"112806200201"</f>
        <v>112806200201</v>
      </c>
      <c r="C464" t="s">
        <v>276</v>
      </c>
      <c r="D464" t="s">
        <v>277</v>
      </c>
      <c r="G464" t="s">
        <v>17</v>
      </c>
      <c r="H464" t="s">
        <v>51</v>
      </c>
      <c r="I464" t="s">
        <v>165</v>
      </c>
      <c r="J464" t="s">
        <v>166</v>
      </c>
      <c r="K464" t="s">
        <v>167</v>
      </c>
      <c r="L464" t="s">
        <v>22</v>
      </c>
      <c r="M464" s="1">
        <v>37435</v>
      </c>
      <c r="N464">
        <v>2002</v>
      </c>
    </row>
    <row r="465" spans="1:14">
      <c r="A465" t="s">
        <v>14</v>
      </c>
      <c r="B465" t="str">
        <f>"111210200301"</f>
        <v>111210200301</v>
      </c>
      <c r="C465" t="s">
        <v>642</v>
      </c>
      <c r="D465" t="s">
        <v>129</v>
      </c>
      <c r="G465" t="s">
        <v>17</v>
      </c>
      <c r="H465" t="s">
        <v>51</v>
      </c>
      <c r="I465" t="s">
        <v>165</v>
      </c>
      <c r="J465" t="s">
        <v>166</v>
      </c>
      <c r="K465" t="s">
        <v>645</v>
      </c>
      <c r="M465" s="1">
        <v>37906</v>
      </c>
      <c r="N465">
        <v>2003</v>
      </c>
    </row>
    <row r="466" spans="1:14">
      <c r="A466" t="s">
        <v>14</v>
      </c>
      <c r="B466" t="str">
        <f>"110805200202"</f>
        <v>110805200202</v>
      </c>
      <c r="C466" t="s">
        <v>893</v>
      </c>
      <c r="D466" t="s">
        <v>259</v>
      </c>
      <c r="G466" t="s">
        <v>17</v>
      </c>
      <c r="H466" t="s">
        <v>51</v>
      </c>
      <c r="I466" t="s">
        <v>165</v>
      </c>
      <c r="J466" t="s">
        <v>166</v>
      </c>
      <c r="K466" t="s">
        <v>645</v>
      </c>
      <c r="L466" t="s">
        <v>22</v>
      </c>
      <c r="M466" s="1">
        <v>37384</v>
      </c>
      <c r="N466">
        <v>2002</v>
      </c>
    </row>
    <row r="467" spans="1:14">
      <c r="A467" t="s">
        <v>14</v>
      </c>
      <c r="B467" t="str">
        <f>"111511200201"</f>
        <v>111511200201</v>
      </c>
      <c r="C467" t="s">
        <v>1785</v>
      </c>
      <c r="D467" t="s">
        <v>129</v>
      </c>
      <c r="G467" t="s">
        <v>17</v>
      </c>
      <c r="H467" t="s">
        <v>51</v>
      </c>
      <c r="I467" t="s">
        <v>165</v>
      </c>
      <c r="J467" t="s">
        <v>166</v>
      </c>
      <c r="K467" t="s">
        <v>645</v>
      </c>
      <c r="M467" s="1">
        <v>37575</v>
      </c>
      <c r="N467">
        <v>2002</v>
      </c>
    </row>
    <row r="468" spans="1:14">
      <c r="A468" t="s">
        <v>14</v>
      </c>
      <c r="B468" t="str">
        <f>"112610200300"</f>
        <v>112610200300</v>
      </c>
      <c r="C468" t="s">
        <v>1941</v>
      </c>
      <c r="D468" t="s">
        <v>89</v>
      </c>
      <c r="G468" t="s">
        <v>17</v>
      </c>
      <c r="H468" t="s">
        <v>51</v>
      </c>
      <c r="I468" t="s">
        <v>165</v>
      </c>
      <c r="J468" t="s">
        <v>166</v>
      </c>
      <c r="K468" t="s">
        <v>645</v>
      </c>
      <c r="M468" s="1">
        <v>37920</v>
      </c>
      <c r="N468">
        <v>2003</v>
      </c>
    </row>
    <row r="469" spans="1:14">
      <c r="A469" t="s">
        <v>14</v>
      </c>
      <c r="B469" t="str">
        <f>"110507200203"</f>
        <v>110507200203</v>
      </c>
      <c r="C469" t="s">
        <v>2180</v>
      </c>
      <c r="D469" t="s">
        <v>24</v>
      </c>
      <c r="G469" t="s">
        <v>17</v>
      </c>
      <c r="H469" t="s">
        <v>51</v>
      </c>
      <c r="I469" t="s">
        <v>165</v>
      </c>
      <c r="J469" t="s">
        <v>166</v>
      </c>
      <c r="K469" t="s">
        <v>167</v>
      </c>
      <c r="L469" t="s">
        <v>22</v>
      </c>
      <c r="M469" s="1">
        <v>37442</v>
      </c>
      <c r="N469">
        <v>2002</v>
      </c>
    </row>
    <row r="470" spans="1:14">
      <c r="A470" t="s">
        <v>14</v>
      </c>
      <c r="B470" t="str">
        <f>"111201200301"</f>
        <v>111201200301</v>
      </c>
      <c r="C470" t="s">
        <v>2467</v>
      </c>
      <c r="D470" t="s">
        <v>287</v>
      </c>
      <c r="G470" t="s">
        <v>17</v>
      </c>
      <c r="H470" t="s">
        <v>51</v>
      </c>
      <c r="I470" t="s">
        <v>165</v>
      </c>
      <c r="J470" t="s">
        <v>166</v>
      </c>
      <c r="K470" t="s">
        <v>645</v>
      </c>
      <c r="M470" s="1">
        <v>37633</v>
      </c>
      <c r="N470">
        <v>2003</v>
      </c>
    </row>
    <row r="471" spans="1:14">
      <c r="A471" t="s">
        <v>14</v>
      </c>
      <c r="B471" t="str">
        <f>"123012200400"</f>
        <v>123012200400</v>
      </c>
      <c r="C471" t="s">
        <v>820</v>
      </c>
      <c r="D471" t="s">
        <v>232</v>
      </c>
      <c r="G471" t="s">
        <v>32</v>
      </c>
      <c r="H471" t="s">
        <v>33</v>
      </c>
      <c r="I471" t="s">
        <v>374</v>
      </c>
      <c r="J471" t="s">
        <v>375</v>
      </c>
      <c r="K471" t="s">
        <v>821</v>
      </c>
      <c r="L471" t="s">
        <v>22</v>
      </c>
      <c r="M471" s="1">
        <v>38351</v>
      </c>
      <c r="N471">
        <v>2004</v>
      </c>
    </row>
    <row r="472" spans="1:14">
      <c r="A472" t="s">
        <v>14</v>
      </c>
      <c r="B472" t="str">
        <f>"120207200200"</f>
        <v>120207200200</v>
      </c>
      <c r="C472" t="s">
        <v>1403</v>
      </c>
      <c r="D472" t="s">
        <v>184</v>
      </c>
      <c r="G472" t="s">
        <v>32</v>
      </c>
      <c r="H472" t="s">
        <v>65</v>
      </c>
      <c r="I472" t="s">
        <v>374</v>
      </c>
      <c r="J472" t="s">
        <v>375</v>
      </c>
      <c r="K472" t="s">
        <v>443</v>
      </c>
      <c r="L472" t="s">
        <v>22</v>
      </c>
      <c r="M472" s="1">
        <v>37439</v>
      </c>
      <c r="N472">
        <v>2002</v>
      </c>
    </row>
    <row r="473" spans="1:14">
      <c r="A473" t="s">
        <v>14</v>
      </c>
      <c r="B473" t="str">
        <f>"120304200201"</f>
        <v>120304200201</v>
      </c>
      <c r="C473" t="s">
        <v>1824</v>
      </c>
      <c r="D473" t="s">
        <v>235</v>
      </c>
      <c r="G473" t="s">
        <v>32</v>
      </c>
      <c r="H473" t="s">
        <v>65</v>
      </c>
      <c r="I473" t="s">
        <v>374</v>
      </c>
      <c r="J473" t="s">
        <v>375</v>
      </c>
      <c r="K473" t="s">
        <v>443</v>
      </c>
      <c r="L473" t="s">
        <v>22</v>
      </c>
      <c r="M473" s="1">
        <v>37349</v>
      </c>
      <c r="N473">
        <v>2002</v>
      </c>
    </row>
    <row r="474" spans="1:14">
      <c r="A474" t="s">
        <v>14</v>
      </c>
      <c r="B474" t="str">
        <f>"121506199601"</f>
        <v>121506199601</v>
      </c>
      <c r="C474" t="s">
        <v>2132</v>
      </c>
      <c r="D474" t="s">
        <v>1378</v>
      </c>
      <c r="G474" t="s">
        <v>32</v>
      </c>
      <c r="H474" t="s">
        <v>59</v>
      </c>
      <c r="I474" t="s">
        <v>374</v>
      </c>
      <c r="J474" t="s">
        <v>375</v>
      </c>
      <c r="K474" t="s">
        <v>443</v>
      </c>
      <c r="L474" t="s">
        <v>48</v>
      </c>
      <c r="M474" s="1">
        <v>35231</v>
      </c>
      <c r="N474">
        <v>1996</v>
      </c>
    </row>
    <row r="475" spans="1:14">
      <c r="A475" t="s">
        <v>14</v>
      </c>
      <c r="B475" t="str">
        <f>"122105200002"</f>
        <v>122105200002</v>
      </c>
      <c r="C475" t="s">
        <v>1400</v>
      </c>
      <c r="D475" t="s">
        <v>232</v>
      </c>
      <c r="G475" t="s">
        <v>32</v>
      </c>
      <c r="H475" t="s">
        <v>44</v>
      </c>
      <c r="I475" t="s">
        <v>374</v>
      </c>
      <c r="J475" t="s">
        <v>375</v>
      </c>
      <c r="K475" t="s">
        <v>443</v>
      </c>
      <c r="M475" s="1">
        <v>36667</v>
      </c>
      <c r="N475">
        <v>2000</v>
      </c>
    </row>
    <row r="476" spans="1:14">
      <c r="A476" t="s">
        <v>14</v>
      </c>
      <c r="B476" t="str">
        <f>"120701199901"</f>
        <v>120701199901</v>
      </c>
      <c r="C476" t="s">
        <v>2074</v>
      </c>
      <c r="D476" t="s">
        <v>203</v>
      </c>
      <c r="G476" t="s">
        <v>32</v>
      </c>
      <c r="H476" t="s">
        <v>44</v>
      </c>
      <c r="I476" t="s">
        <v>374</v>
      </c>
      <c r="J476" t="s">
        <v>375</v>
      </c>
      <c r="K476" t="s">
        <v>1302</v>
      </c>
      <c r="L476" t="s">
        <v>48</v>
      </c>
      <c r="M476" s="1">
        <v>36167</v>
      </c>
      <c r="N476">
        <v>1999</v>
      </c>
    </row>
    <row r="477" spans="1:14">
      <c r="A477" t="s">
        <v>14</v>
      </c>
      <c r="B477" t="str">
        <f>"122807200100"</f>
        <v>122807200100</v>
      </c>
      <c r="C477" t="s">
        <v>2596</v>
      </c>
      <c r="D477" t="s">
        <v>380</v>
      </c>
      <c r="G477" t="s">
        <v>32</v>
      </c>
      <c r="H477" t="s">
        <v>44</v>
      </c>
      <c r="I477" t="s">
        <v>374</v>
      </c>
      <c r="J477" t="s">
        <v>375</v>
      </c>
      <c r="K477" t="s">
        <v>732</v>
      </c>
      <c r="M477" s="1">
        <v>37100</v>
      </c>
      <c r="N477">
        <v>2001</v>
      </c>
    </row>
    <row r="478" spans="1:14">
      <c r="A478" t="s">
        <v>14</v>
      </c>
      <c r="B478" t="str">
        <f>"122605199901"</f>
        <v>122605199901</v>
      </c>
      <c r="C478" t="s">
        <v>2715</v>
      </c>
      <c r="D478" t="s">
        <v>310</v>
      </c>
      <c r="G478" t="s">
        <v>32</v>
      </c>
      <c r="H478" t="s">
        <v>44</v>
      </c>
      <c r="I478" t="s">
        <v>374</v>
      </c>
      <c r="J478" t="s">
        <v>375</v>
      </c>
      <c r="K478" t="s">
        <v>443</v>
      </c>
      <c r="L478" t="s">
        <v>63</v>
      </c>
      <c r="M478" s="1">
        <v>36306</v>
      </c>
      <c r="N478">
        <v>1999</v>
      </c>
    </row>
    <row r="479" spans="1:14">
      <c r="A479" t="s">
        <v>14</v>
      </c>
      <c r="B479" t="str">
        <f>"122006200100"</f>
        <v>122006200100</v>
      </c>
      <c r="C479" t="s">
        <v>2849</v>
      </c>
      <c r="D479" t="s">
        <v>184</v>
      </c>
      <c r="G479" t="s">
        <v>32</v>
      </c>
      <c r="H479" t="s">
        <v>44</v>
      </c>
      <c r="I479" t="s">
        <v>374</v>
      </c>
      <c r="J479" t="s">
        <v>375</v>
      </c>
      <c r="K479" t="s">
        <v>443</v>
      </c>
      <c r="M479" s="1">
        <v>37062</v>
      </c>
      <c r="N479">
        <v>2001</v>
      </c>
    </row>
    <row r="480" spans="1:14">
      <c r="A480" t="s">
        <v>14</v>
      </c>
      <c r="B480" t="str">
        <f>"112109199700"</f>
        <v>112109199700</v>
      </c>
      <c r="C480" t="s">
        <v>442</v>
      </c>
      <c r="D480" t="s">
        <v>382</v>
      </c>
      <c r="G480" t="s">
        <v>17</v>
      </c>
      <c r="H480" t="s">
        <v>25</v>
      </c>
      <c r="I480" t="s">
        <v>374</v>
      </c>
      <c r="J480" t="s">
        <v>375</v>
      </c>
      <c r="K480" t="s">
        <v>443</v>
      </c>
      <c r="L480" t="s">
        <v>63</v>
      </c>
      <c r="M480" s="1">
        <v>35694</v>
      </c>
      <c r="N480">
        <v>1997</v>
      </c>
    </row>
    <row r="481" spans="1:14">
      <c r="A481" t="s">
        <v>14</v>
      </c>
      <c r="B481" t="str">
        <f>"111405199700"</f>
        <v>111405199700</v>
      </c>
      <c r="C481" t="s">
        <v>751</v>
      </c>
      <c r="D481" t="s">
        <v>752</v>
      </c>
      <c r="G481" t="s">
        <v>17</v>
      </c>
      <c r="H481" t="s">
        <v>25</v>
      </c>
      <c r="I481" t="s">
        <v>374</v>
      </c>
      <c r="J481" t="s">
        <v>375</v>
      </c>
      <c r="K481" t="s">
        <v>753</v>
      </c>
      <c r="L481" t="s">
        <v>48</v>
      </c>
      <c r="M481" s="1">
        <v>35564</v>
      </c>
      <c r="N481">
        <v>1997</v>
      </c>
    </row>
    <row r="482" spans="1:14">
      <c r="A482" t="s">
        <v>14</v>
      </c>
      <c r="B482" t="str">
        <f>"110703199800"</f>
        <v>110703199800</v>
      </c>
      <c r="C482" t="s">
        <v>1000</v>
      </c>
      <c r="D482" t="s">
        <v>209</v>
      </c>
      <c r="G482" t="s">
        <v>17</v>
      </c>
      <c r="H482" t="s">
        <v>25</v>
      </c>
      <c r="I482" t="s">
        <v>374</v>
      </c>
      <c r="J482" t="s">
        <v>375</v>
      </c>
      <c r="K482" t="s">
        <v>443</v>
      </c>
      <c r="L482" t="s">
        <v>63</v>
      </c>
      <c r="M482" s="1">
        <v>34744</v>
      </c>
      <c r="N482">
        <v>1995</v>
      </c>
    </row>
    <row r="483" spans="1:14">
      <c r="A483" t="s">
        <v>14</v>
      </c>
      <c r="B483" t="str">
        <f>"111608199800"</f>
        <v>111608199800</v>
      </c>
      <c r="C483" t="s">
        <v>1176</v>
      </c>
      <c r="D483" t="s">
        <v>115</v>
      </c>
      <c r="G483" t="s">
        <v>17</v>
      </c>
      <c r="H483" t="s">
        <v>25</v>
      </c>
      <c r="I483" t="s">
        <v>374</v>
      </c>
      <c r="J483" t="s">
        <v>375</v>
      </c>
      <c r="K483" t="s">
        <v>443</v>
      </c>
      <c r="L483" t="s">
        <v>22</v>
      </c>
      <c r="M483" s="1">
        <v>36023</v>
      </c>
      <c r="N483">
        <v>1998</v>
      </c>
    </row>
    <row r="484" spans="1:14">
      <c r="A484" t="s">
        <v>14</v>
      </c>
      <c r="B484" t="str">
        <f>"111205199501"</f>
        <v>111205199501</v>
      </c>
      <c r="C484" t="s">
        <v>1508</v>
      </c>
      <c r="D484" t="s">
        <v>256</v>
      </c>
      <c r="G484" t="s">
        <v>17</v>
      </c>
      <c r="H484" t="s">
        <v>25</v>
      </c>
      <c r="I484" t="s">
        <v>374</v>
      </c>
      <c r="J484" t="s">
        <v>375</v>
      </c>
      <c r="K484" t="s">
        <v>1302</v>
      </c>
      <c r="L484" t="s">
        <v>48</v>
      </c>
      <c r="M484" s="1">
        <v>34831</v>
      </c>
      <c r="N484">
        <v>1995</v>
      </c>
    </row>
    <row r="485" spans="1:14">
      <c r="A485" t="s">
        <v>14</v>
      </c>
      <c r="B485" t="str">
        <f>"110909199700"</f>
        <v>110909199700</v>
      </c>
      <c r="C485" t="s">
        <v>2377</v>
      </c>
      <c r="D485" t="s">
        <v>16</v>
      </c>
      <c r="G485" t="s">
        <v>17</v>
      </c>
      <c r="H485" t="s">
        <v>25</v>
      </c>
      <c r="I485" t="s">
        <v>374</v>
      </c>
      <c r="J485" t="s">
        <v>375</v>
      </c>
      <c r="K485" t="s">
        <v>443</v>
      </c>
      <c r="L485" t="s">
        <v>48</v>
      </c>
      <c r="M485" s="1">
        <v>35682</v>
      </c>
      <c r="N485">
        <v>1997</v>
      </c>
    </row>
    <row r="486" spans="1:14">
      <c r="A486" t="s">
        <v>14</v>
      </c>
      <c r="B486" t="str">
        <f>"111709199801"</f>
        <v>111709199801</v>
      </c>
      <c r="C486" t="s">
        <v>2424</v>
      </c>
      <c r="D486" t="s">
        <v>373</v>
      </c>
      <c r="G486" t="s">
        <v>17</v>
      </c>
      <c r="H486" t="s">
        <v>25</v>
      </c>
      <c r="I486" t="s">
        <v>374</v>
      </c>
      <c r="J486" t="s">
        <v>375</v>
      </c>
      <c r="K486" t="s">
        <v>443</v>
      </c>
      <c r="L486" t="s">
        <v>22</v>
      </c>
      <c r="M486" s="1">
        <v>36055</v>
      </c>
      <c r="N486">
        <v>1998</v>
      </c>
    </row>
    <row r="487" spans="1:14">
      <c r="A487" t="s">
        <v>14</v>
      </c>
      <c r="B487" t="str">
        <f>"110706199501"</f>
        <v>110706199501</v>
      </c>
      <c r="C487" t="s">
        <v>2509</v>
      </c>
      <c r="D487" t="s">
        <v>2510</v>
      </c>
      <c r="G487" t="s">
        <v>17</v>
      </c>
      <c r="H487" t="s">
        <v>25</v>
      </c>
      <c r="I487" t="s">
        <v>374</v>
      </c>
      <c r="J487" t="s">
        <v>375</v>
      </c>
      <c r="K487" t="s">
        <v>1302</v>
      </c>
      <c r="M487" s="1">
        <v>34857</v>
      </c>
      <c r="N487">
        <v>1995</v>
      </c>
    </row>
    <row r="488" spans="1:14">
      <c r="A488" t="s">
        <v>14</v>
      </c>
      <c r="B488" t="str">
        <f>"112704200101"</f>
        <v>112704200101</v>
      </c>
      <c r="C488" t="s">
        <v>656</v>
      </c>
      <c r="D488" t="s">
        <v>657</v>
      </c>
      <c r="G488" t="s">
        <v>17</v>
      </c>
      <c r="H488" t="s">
        <v>18</v>
      </c>
      <c r="I488" t="s">
        <v>374</v>
      </c>
      <c r="J488" t="s">
        <v>375</v>
      </c>
      <c r="K488" t="s">
        <v>443</v>
      </c>
      <c r="L488" t="s">
        <v>63</v>
      </c>
      <c r="M488" s="1">
        <v>37008</v>
      </c>
      <c r="N488">
        <v>2001</v>
      </c>
    </row>
    <row r="489" spans="1:14">
      <c r="A489" t="s">
        <v>14</v>
      </c>
      <c r="B489" t="str">
        <f>"112706200000"</f>
        <v>112706200000</v>
      </c>
      <c r="C489" t="s">
        <v>731</v>
      </c>
      <c r="D489" t="s">
        <v>268</v>
      </c>
      <c r="G489" t="s">
        <v>17</v>
      </c>
      <c r="H489" t="s">
        <v>18</v>
      </c>
      <c r="I489" t="s">
        <v>374</v>
      </c>
      <c r="J489" t="s">
        <v>375</v>
      </c>
      <c r="K489" t="s">
        <v>732</v>
      </c>
      <c r="L489" t="s">
        <v>63</v>
      </c>
      <c r="M489" s="1">
        <v>36704</v>
      </c>
      <c r="N489">
        <v>2000</v>
      </c>
    </row>
    <row r="490" spans="1:14">
      <c r="A490" t="s">
        <v>14</v>
      </c>
      <c r="B490" t="str">
        <f>"112903200004"</f>
        <v>112903200004</v>
      </c>
      <c r="C490" t="s">
        <v>1117</v>
      </c>
      <c r="D490" t="s">
        <v>89</v>
      </c>
      <c r="G490" t="s">
        <v>17</v>
      </c>
      <c r="H490" t="s">
        <v>18</v>
      </c>
      <c r="I490" t="s">
        <v>374</v>
      </c>
      <c r="J490" t="s">
        <v>375</v>
      </c>
      <c r="K490" t="s">
        <v>732</v>
      </c>
      <c r="L490" t="s">
        <v>22</v>
      </c>
      <c r="M490" s="1">
        <v>36614</v>
      </c>
      <c r="N490">
        <v>2000</v>
      </c>
    </row>
    <row r="491" spans="1:14">
      <c r="A491" t="s">
        <v>14</v>
      </c>
      <c r="B491" t="str">
        <f>"112801200001"</f>
        <v>112801200001</v>
      </c>
      <c r="C491" t="s">
        <v>1568</v>
      </c>
      <c r="D491" t="s">
        <v>113</v>
      </c>
      <c r="G491" t="s">
        <v>17</v>
      </c>
      <c r="H491" t="s">
        <v>18</v>
      </c>
      <c r="I491" t="s">
        <v>374</v>
      </c>
      <c r="J491" t="s">
        <v>375</v>
      </c>
      <c r="K491" t="s">
        <v>443</v>
      </c>
      <c r="L491" t="s">
        <v>63</v>
      </c>
      <c r="M491" s="1">
        <v>36553</v>
      </c>
      <c r="N491">
        <v>2000</v>
      </c>
    </row>
    <row r="492" spans="1:14">
      <c r="A492" t="s">
        <v>14</v>
      </c>
      <c r="B492" t="str">
        <f>"110501200003"</f>
        <v>110501200003</v>
      </c>
      <c r="C492" t="s">
        <v>1934</v>
      </c>
      <c r="D492" t="s">
        <v>24</v>
      </c>
      <c r="G492" t="s">
        <v>17</v>
      </c>
      <c r="H492" t="s">
        <v>18</v>
      </c>
      <c r="I492" t="s">
        <v>374</v>
      </c>
      <c r="J492" t="s">
        <v>375</v>
      </c>
      <c r="K492" t="s">
        <v>443</v>
      </c>
      <c r="L492" t="s">
        <v>63</v>
      </c>
      <c r="M492" s="1">
        <v>36530</v>
      </c>
      <c r="N492">
        <v>2000</v>
      </c>
    </row>
    <row r="493" spans="1:14">
      <c r="A493" t="s">
        <v>14</v>
      </c>
      <c r="B493" t="str">
        <f>"111805200100"</f>
        <v>111805200100</v>
      </c>
      <c r="C493" t="s">
        <v>2289</v>
      </c>
      <c r="D493" t="s">
        <v>782</v>
      </c>
      <c r="G493" t="s">
        <v>17</v>
      </c>
      <c r="H493" t="s">
        <v>18</v>
      </c>
      <c r="I493" t="s">
        <v>374</v>
      </c>
      <c r="J493" t="s">
        <v>375</v>
      </c>
      <c r="K493" t="s">
        <v>443</v>
      </c>
      <c r="L493" t="s">
        <v>22</v>
      </c>
      <c r="M493" s="1">
        <v>37029</v>
      </c>
      <c r="N493">
        <v>2001</v>
      </c>
    </row>
    <row r="494" spans="1:14">
      <c r="A494" t="s">
        <v>14</v>
      </c>
      <c r="B494" t="str">
        <f>"111203200102"</f>
        <v>111203200102</v>
      </c>
      <c r="C494" t="s">
        <v>2517</v>
      </c>
      <c r="D494" t="s">
        <v>344</v>
      </c>
      <c r="G494" t="s">
        <v>17</v>
      </c>
      <c r="H494" t="s">
        <v>18</v>
      </c>
      <c r="I494" t="s">
        <v>374</v>
      </c>
      <c r="J494" t="s">
        <v>375</v>
      </c>
      <c r="K494" t="s">
        <v>1162</v>
      </c>
      <c r="L494" t="s">
        <v>22</v>
      </c>
      <c r="M494" s="1">
        <v>36962</v>
      </c>
      <c r="N494">
        <v>2001</v>
      </c>
    </row>
    <row r="495" spans="1:14">
      <c r="A495" t="s">
        <v>14</v>
      </c>
      <c r="B495" t="str">
        <f>"110304200400"</f>
        <v>110304200400</v>
      </c>
      <c r="C495" t="s">
        <v>1167</v>
      </c>
      <c r="D495" t="s">
        <v>305</v>
      </c>
      <c r="G495" t="s">
        <v>17</v>
      </c>
      <c r="H495" t="s">
        <v>39</v>
      </c>
      <c r="I495" t="s">
        <v>374</v>
      </c>
      <c r="J495" t="s">
        <v>375</v>
      </c>
      <c r="K495" t="s">
        <v>1168</v>
      </c>
      <c r="L495" t="s">
        <v>22</v>
      </c>
      <c r="M495" s="1">
        <v>38080</v>
      </c>
      <c r="N495">
        <v>2004</v>
      </c>
    </row>
    <row r="496" spans="1:14">
      <c r="A496" t="s">
        <v>14</v>
      </c>
      <c r="B496" t="str">
        <f>"110607200400"</f>
        <v>110607200400</v>
      </c>
      <c r="C496" t="s">
        <v>1428</v>
      </c>
      <c r="D496" t="s">
        <v>221</v>
      </c>
      <c r="G496" t="s">
        <v>17</v>
      </c>
      <c r="H496" t="s">
        <v>39</v>
      </c>
      <c r="I496" t="s">
        <v>374</v>
      </c>
      <c r="J496" t="s">
        <v>375</v>
      </c>
      <c r="K496" t="s">
        <v>753</v>
      </c>
      <c r="M496" s="1">
        <v>38174</v>
      </c>
      <c r="N496">
        <v>2004</v>
      </c>
    </row>
    <row r="497" spans="1:14">
      <c r="A497" t="s">
        <v>14</v>
      </c>
      <c r="B497" t="str">
        <f>"112411200400"</f>
        <v>112411200400</v>
      </c>
      <c r="C497" t="s">
        <v>2685</v>
      </c>
      <c r="D497" t="s">
        <v>178</v>
      </c>
      <c r="G497" t="s">
        <v>17</v>
      </c>
      <c r="H497" t="s">
        <v>39</v>
      </c>
      <c r="I497" t="s">
        <v>374</v>
      </c>
      <c r="J497" t="s">
        <v>375</v>
      </c>
      <c r="K497" t="s">
        <v>753</v>
      </c>
      <c r="L497" t="s">
        <v>22</v>
      </c>
      <c r="M497" s="1">
        <v>38315</v>
      </c>
      <c r="N497">
        <v>2004</v>
      </c>
    </row>
    <row r="498" spans="1:14">
      <c r="A498" t="s">
        <v>14</v>
      </c>
      <c r="B498" t="str">
        <f>"113105200400"</f>
        <v>113105200400</v>
      </c>
      <c r="C498" t="s">
        <v>2847</v>
      </c>
      <c r="D498" t="s">
        <v>53</v>
      </c>
      <c r="G498" t="s">
        <v>17</v>
      </c>
      <c r="H498" t="s">
        <v>39</v>
      </c>
      <c r="I498" t="s">
        <v>374</v>
      </c>
      <c r="J498" t="s">
        <v>375</v>
      </c>
      <c r="K498" t="s">
        <v>1168</v>
      </c>
      <c r="L498" t="s">
        <v>22</v>
      </c>
      <c r="M498" s="1">
        <v>38138</v>
      </c>
      <c r="N498">
        <v>2004</v>
      </c>
    </row>
    <row r="499" spans="1:14">
      <c r="A499" t="s">
        <v>14</v>
      </c>
      <c r="B499" t="str">
        <f>"111505200302"</f>
        <v>111505200302</v>
      </c>
      <c r="C499" t="s">
        <v>372</v>
      </c>
      <c r="D499" t="s">
        <v>373</v>
      </c>
      <c r="G499" t="s">
        <v>17</v>
      </c>
      <c r="H499" t="s">
        <v>51</v>
      </c>
      <c r="I499" t="s">
        <v>374</v>
      </c>
      <c r="J499" t="s">
        <v>375</v>
      </c>
      <c r="K499" t="s">
        <v>376</v>
      </c>
      <c r="L499" t="s">
        <v>202</v>
      </c>
      <c r="M499" s="1">
        <v>37756</v>
      </c>
      <c r="N499">
        <v>2003</v>
      </c>
    </row>
    <row r="500" spans="1:14">
      <c r="A500" t="s">
        <v>14</v>
      </c>
      <c r="B500" t="str">
        <f>"111308200300"</f>
        <v>111308200300</v>
      </c>
      <c r="C500" t="s">
        <v>730</v>
      </c>
      <c r="D500" t="s">
        <v>728</v>
      </c>
      <c r="G500" t="s">
        <v>17</v>
      </c>
      <c r="H500" t="s">
        <v>51</v>
      </c>
      <c r="I500" t="s">
        <v>374</v>
      </c>
      <c r="J500" t="s">
        <v>375</v>
      </c>
      <c r="K500" t="s">
        <v>376</v>
      </c>
      <c r="L500" t="s">
        <v>202</v>
      </c>
      <c r="M500" s="1">
        <v>37846</v>
      </c>
      <c r="N500">
        <v>2003</v>
      </c>
    </row>
    <row r="501" spans="1:14">
      <c r="A501" t="s">
        <v>14</v>
      </c>
      <c r="B501" t="str">
        <f>"111712200300"</f>
        <v>111712200300</v>
      </c>
      <c r="C501" t="s">
        <v>1161</v>
      </c>
      <c r="D501" t="s">
        <v>70</v>
      </c>
      <c r="G501" t="s">
        <v>17</v>
      </c>
      <c r="H501" t="s">
        <v>51</v>
      </c>
      <c r="I501" t="s">
        <v>374</v>
      </c>
      <c r="J501" t="s">
        <v>375</v>
      </c>
      <c r="K501" t="s">
        <v>1162</v>
      </c>
      <c r="L501" t="s">
        <v>202</v>
      </c>
      <c r="M501" s="1">
        <v>37972</v>
      </c>
      <c r="N501">
        <v>2003</v>
      </c>
    </row>
    <row r="502" spans="1:14">
      <c r="A502" t="s">
        <v>14</v>
      </c>
      <c r="B502" t="str">
        <f>"112807200300"</f>
        <v>112807200300</v>
      </c>
      <c r="C502" t="s">
        <v>1322</v>
      </c>
      <c r="D502" t="s">
        <v>292</v>
      </c>
      <c r="G502" t="s">
        <v>17</v>
      </c>
      <c r="H502" t="s">
        <v>51</v>
      </c>
      <c r="I502" t="s">
        <v>374</v>
      </c>
      <c r="J502" t="s">
        <v>375</v>
      </c>
      <c r="K502" t="s">
        <v>376</v>
      </c>
      <c r="L502" t="s">
        <v>22</v>
      </c>
      <c r="M502" s="1">
        <v>37830</v>
      </c>
      <c r="N502">
        <v>2003</v>
      </c>
    </row>
    <row r="503" spans="1:14">
      <c r="A503" t="s">
        <v>14</v>
      </c>
      <c r="B503" t="str">
        <f>"112802200200"</f>
        <v>112802200200</v>
      </c>
      <c r="C503" t="s">
        <v>1975</v>
      </c>
      <c r="D503" t="s">
        <v>98</v>
      </c>
      <c r="G503" t="s">
        <v>17</v>
      </c>
      <c r="H503" t="s">
        <v>51</v>
      </c>
      <c r="I503" t="s">
        <v>374</v>
      </c>
      <c r="J503" t="s">
        <v>375</v>
      </c>
      <c r="K503" t="s">
        <v>1162</v>
      </c>
      <c r="L503" t="s">
        <v>22</v>
      </c>
      <c r="M503" s="1">
        <v>37315</v>
      </c>
      <c r="N503">
        <v>2002</v>
      </c>
    </row>
    <row r="504" spans="1:14">
      <c r="A504" t="s">
        <v>14</v>
      </c>
      <c r="B504" t="str">
        <f>"111802200202"</f>
        <v>111802200202</v>
      </c>
      <c r="C504" t="s">
        <v>2262</v>
      </c>
      <c r="D504" t="s">
        <v>693</v>
      </c>
      <c r="G504" t="s">
        <v>17</v>
      </c>
      <c r="H504" t="s">
        <v>51</v>
      </c>
      <c r="I504" t="s">
        <v>374</v>
      </c>
      <c r="J504" t="s">
        <v>375</v>
      </c>
      <c r="K504" t="s">
        <v>443</v>
      </c>
      <c r="M504" s="1">
        <v>37305</v>
      </c>
      <c r="N504">
        <v>2002</v>
      </c>
    </row>
    <row r="505" spans="1:14">
      <c r="A505" t="s">
        <v>14</v>
      </c>
      <c r="B505" t="str">
        <f>"111109200300"</f>
        <v>111109200300</v>
      </c>
      <c r="C505" t="s">
        <v>2480</v>
      </c>
      <c r="D505" t="s">
        <v>24</v>
      </c>
      <c r="G505" t="s">
        <v>17</v>
      </c>
      <c r="H505" t="s">
        <v>51</v>
      </c>
      <c r="I505" t="s">
        <v>374</v>
      </c>
      <c r="J505" t="s">
        <v>375</v>
      </c>
      <c r="K505" t="s">
        <v>2481</v>
      </c>
      <c r="M505" s="1">
        <v>37875</v>
      </c>
      <c r="N505">
        <v>2003</v>
      </c>
    </row>
    <row r="506" spans="1:14">
      <c r="A506" t="s">
        <v>14</v>
      </c>
      <c r="B506" t="str">
        <f>"111708199701"</f>
        <v>111708199701</v>
      </c>
      <c r="C506" t="s">
        <v>1300</v>
      </c>
      <c r="D506" t="s">
        <v>136</v>
      </c>
      <c r="G506" t="s">
        <v>17</v>
      </c>
      <c r="H506" t="s">
        <v>25</v>
      </c>
      <c r="I506" t="s">
        <v>1301</v>
      </c>
      <c r="J506" t="s">
        <v>375</v>
      </c>
      <c r="K506" t="s">
        <v>1302</v>
      </c>
      <c r="L506" t="s">
        <v>48</v>
      </c>
      <c r="M506" s="1">
        <v>35659</v>
      </c>
      <c r="N506">
        <v>1997</v>
      </c>
    </row>
    <row r="507" spans="1:14">
      <c r="A507" t="s">
        <v>14</v>
      </c>
      <c r="B507" t="str">
        <f>"112412199500"</f>
        <v>112412199500</v>
      </c>
      <c r="C507" t="s">
        <v>2730</v>
      </c>
      <c r="D507" t="s">
        <v>24</v>
      </c>
      <c r="G507" t="s">
        <v>17</v>
      </c>
      <c r="H507" t="s">
        <v>25</v>
      </c>
      <c r="I507" t="s">
        <v>1301</v>
      </c>
      <c r="J507" t="s">
        <v>375</v>
      </c>
      <c r="K507" t="s">
        <v>1302</v>
      </c>
      <c r="L507" t="s">
        <v>63</v>
      </c>
      <c r="M507" s="1">
        <v>35057</v>
      </c>
      <c r="N507">
        <v>1995</v>
      </c>
    </row>
    <row r="508" spans="1:14">
      <c r="A508" t="s">
        <v>14</v>
      </c>
      <c r="B508" t="str">
        <f>"111108199802"</f>
        <v>111108199802</v>
      </c>
      <c r="C508" t="s">
        <v>1545</v>
      </c>
      <c r="D508" t="s">
        <v>373</v>
      </c>
      <c r="G508" t="s">
        <v>17</v>
      </c>
      <c r="H508" t="s">
        <v>25</v>
      </c>
      <c r="I508" t="s">
        <v>1546</v>
      </c>
      <c r="J508" t="s">
        <v>375</v>
      </c>
      <c r="K508" t="s">
        <v>1547</v>
      </c>
      <c r="L508" t="s">
        <v>63</v>
      </c>
      <c r="M508" s="1">
        <v>36018</v>
      </c>
      <c r="N508">
        <v>1998</v>
      </c>
    </row>
    <row r="509" spans="1:14">
      <c r="A509" t="s">
        <v>14</v>
      </c>
      <c r="B509" t="str">
        <f>"121609200401"</f>
        <v>121609200401</v>
      </c>
      <c r="C509" t="s">
        <v>503</v>
      </c>
      <c r="D509" t="s">
        <v>420</v>
      </c>
      <c r="G509" t="s">
        <v>32</v>
      </c>
      <c r="H509" t="s">
        <v>33</v>
      </c>
      <c r="I509" t="s">
        <v>199</v>
      </c>
      <c r="J509" t="s">
        <v>200</v>
      </c>
      <c r="K509" t="s">
        <v>201</v>
      </c>
      <c r="L509" t="s">
        <v>22</v>
      </c>
      <c r="M509" s="1">
        <v>38246</v>
      </c>
      <c r="N509">
        <v>2004</v>
      </c>
    </row>
    <row r="510" spans="1:14">
      <c r="A510" t="s">
        <v>14</v>
      </c>
      <c r="B510" t="str">
        <f>"122210200400"</f>
        <v>122210200400</v>
      </c>
      <c r="C510" t="s">
        <v>536</v>
      </c>
      <c r="D510" t="s">
        <v>238</v>
      </c>
      <c r="G510" t="s">
        <v>32</v>
      </c>
      <c r="H510" t="s">
        <v>33</v>
      </c>
      <c r="I510" t="s">
        <v>199</v>
      </c>
      <c r="J510" t="s">
        <v>200</v>
      </c>
      <c r="K510" t="s">
        <v>201</v>
      </c>
      <c r="M510" s="1">
        <v>38282</v>
      </c>
      <c r="N510">
        <v>2004</v>
      </c>
    </row>
    <row r="511" spans="1:14">
      <c r="A511" t="s">
        <v>14</v>
      </c>
      <c r="B511" t="str">
        <f>"120410200401"</f>
        <v>120410200401</v>
      </c>
      <c r="C511" t="s">
        <v>608</v>
      </c>
      <c r="D511" t="s">
        <v>609</v>
      </c>
      <c r="G511" t="s">
        <v>32</v>
      </c>
      <c r="H511" t="s">
        <v>33</v>
      </c>
      <c r="I511" t="s">
        <v>199</v>
      </c>
      <c r="J511" t="s">
        <v>200</v>
      </c>
      <c r="K511" t="s">
        <v>201</v>
      </c>
      <c r="L511" t="s">
        <v>22</v>
      </c>
      <c r="M511" s="1">
        <v>38264</v>
      </c>
      <c r="N511">
        <v>2004</v>
      </c>
    </row>
    <row r="512" spans="1:14">
      <c r="A512" t="s">
        <v>14</v>
      </c>
      <c r="B512" t="str">
        <f>"120912200400"</f>
        <v>120912200400</v>
      </c>
      <c r="C512" t="s">
        <v>697</v>
      </c>
      <c r="D512" t="s">
        <v>184</v>
      </c>
      <c r="G512" t="s">
        <v>32</v>
      </c>
      <c r="H512" t="s">
        <v>33</v>
      </c>
      <c r="I512" t="s">
        <v>199</v>
      </c>
      <c r="J512" t="s">
        <v>200</v>
      </c>
      <c r="K512" t="s">
        <v>213</v>
      </c>
      <c r="L512" t="s">
        <v>22</v>
      </c>
      <c r="M512" s="1">
        <v>38330</v>
      </c>
      <c r="N512">
        <v>2004</v>
      </c>
    </row>
    <row r="513" spans="1:14">
      <c r="A513" t="s">
        <v>14</v>
      </c>
      <c r="B513" t="str">
        <f>"121709200400"</f>
        <v>121709200400</v>
      </c>
      <c r="C513" t="s">
        <v>719</v>
      </c>
      <c r="D513" t="s">
        <v>238</v>
      </c>
      <c r="G513" t="s">
        <v>32</v>
      </c>
      <c r="H513" t="s">
        <v>33</v>
      </c>
      <c r="I513" t="s">
        <v>199</v>
      </c>
      <c r="J513" t="s">
        <v>200</v>
      </c>
      <c r="K513" t="s">
        <v>213</v>
      </c>
      <c r="L513" t="s">
        <v>22</v>
      </c>
      <c r="M513" s="1">
        <v>38247</v>
      </c>
      <c r="N513">
        <v>2004</v>
      </c>
    </row>
    <row r="514" spans="1:14">
      <c r="A514" t="s">
        <v>14</v>
      </c>
      <c r="B514" t="str">
        <f>"121712200400"</f>
        <v>121712200400</v>
      </c>
      <c r="C514" t="s">
        <v>808</v>
      </c>
      <c r="D514" t="s">
        <v>139</v>
      </c>
      <c r="G514" t="s">
        <v>32</v>
      </c>
      <c r="H514" t="s">
        <v>33</v>
      </c>
      <c r="I514" t="s">
        <v>199</v>
      </c>
      <c r="J514" t="s">
        <v>200</v>
      </c>
      <c r="K514" t="s">
        <v>201</v>
      </c>
      <c r="L514" t="s">
        <v>22</v>
      </c>
      <c r="M514" s="1">
        <v>38338</v>
      </c>
      <c r="N514">
        <v>2004</v>
      </c>
    </row>
    <row r="515" spans="1:14">
      <c r="A515" t="s">
        <v>14</v>
      </c>
      <c r="B515" t="str">
        <f>"121810200501"</f>
        <v>121810200501</v>
      </c>
      <c r="C515" t="s">
        <v>911</v>
      </c>
      <c r="D515" t="s">
        <v>232</v>
      </c>
      <c r="G515" t="s">
        <v>32</v>
      </c>
      <c r="H515" t="s">
        <v>33</v>
      </c>
      <c r="I515" t="s">
        <v>199</v>
      </c>
      <c r="J515" t="s">
        <v>200</v>
      </c>
      <c r="K515" t="s">
        <v>213</v>
      </c>
      <c r="L515" t="s">
        <v>22</v>
      </c>
      <c r="M515" s="1">
        <v>38643</v>
      </c>
      <c r="N515">
        <v>2005</v>
      </c>
    </row>
    <row r="516" spans="1:14">
      <c r="A516" t="s">
        <v>14</v>
      </c>
      <c r="B516" t="str">
        <f>"122106200400"</f>
        <v>122106200400</v>
      </c>
      <c r="C516" t="s">
        <v>1633</v>
      </c>
      <c r="D516" t="s">
        <v>611</v>
      </c>
      <c r="G516" t="s">
        <v>32</v>
      </c>
      <c r="H516" t="s">
        <v>33</v>
      </c>
      <c r="I516" t="s">
        <v>199</v>
      </c>
      <c r="J516" t="s">
        <v>200</v>
      </c>
      <c r="K516" t="s">
        <v>213</v>
      </c>
      <c r="L516" t="s">
        <v>63</v>
      </c>
      <c r="M516" s="1">
        <v>38159</v>
      </c>
      <c r="N516">
        <v>2004</v>
      </c>
    </row>
    <row r="517" spans="1:14">
      <c r="A517" t="s">
        <v>14</v>
      </c>
      <c r="B517" t="str">
        <f>"120607200400"</f>
        <v>120607200400</v>
      </c>
      <c r="C517" t="s">
        <v>1665</v>
      </c>
      <c r="D517" t="s">
        <v>1666</v>
      </c>
      <c r="G517" t="s">
        <v>32</v>
      </c>
      <c r="H517" t="s">
        <v>33</v>
      </c>
      <c r="I517" t="s">
        <v>199</v>
      </c>
      <c r="J517" t="s">
        <v>200</v>
      </c>
      <c r="K517" t="s">
        <v>213</v>
      </c>
      <c r="L517" t="s">
        <v>22</v>
      </c>
      <c r="M517" s="1">
        <v>38174</v>
      </c>
      <c r="N517">
        <v>2004</v>
      </c>
    </row>
    <row r="518" spans="1:14">
      <c r="A518" t="s">
        <v>14</v>
      </c>
      <c r="B518" t="str">
        <f>"120907200400"</f>
        <v>120907200400</v>
      </c>
      <c r="C518" t="s">
        <v>1707</v>
      </c>
      <c r="D518" t="s">
        <v>1708</v>
      </c>
      <c r="G518" t="s">
        <v>32</v>
      </c>
      <c r="H518" t="s">
        <v>33</v>
      </c>
      <c r="I518" t="s">
        <v>199</v>
      </c>
      <c r="J518" t="s">
        <v>200</v>
      </c>
      <c r="K518" t="s">
        <v>213</v>
      </c>
      <c r="L518" t="s">
        <v>22</v>
      </c>
      <c r="M518" s="1">
        <v>38177</v>
      </c>
      <c r="N518">
        <v>2004</v>
      </c>
    </row>
    <row r="519" spans="1:14">
      <c r="A519" t="s">
        <v>14</v>
      </c>
      <c r="B519" t="str">
        <f>"122608200400"</f>
        <v>122608200400</v>
      </c>
      <c r="C519" t="s">
        <v>1794</v>
      </c>
      <c r="D519" t="s">
        <v>1252</v>
      </c>
      <c r="G519" t="s">
        <v>32</v>
      </c>
      <c r="H519" t="s">
        <v>33</v>
      </c>
      <c r="I519" t="s">
        <v>199</v>
      </c>
      <c r="J519" t="s">
        <v>200</v>
      </c>
      <c r="K519" t="s">
        <v>201</v>
      </c>
      <c r="L519" t="s">
        <v>22</v>
      </c>
      <c r="M519" s="1">
        <v>38225</v>
      </c>
      <c r="N519">
        <v>2004</v>
      </c>
    </row>
    <row r="520" spans="1:14">
      <c r="A520" t="s">
        <v>14</v>
      </c>
      <c r="B520" t="str">
        <f>"122104200400"</f>
        <v>122104200400</v>
      </c>
      <c r="C520" t="s">
        <v>2135</v>
      </c>
      <c r="D520" t="s">
        <v>64</v>
      </c>
      <c r="G520" t="s">
        <v>32</v>
      </c>
      <c r="H520" t="s">
        <v>33</v>
      </c>
      <c r="I520" t="s">
        <v>199</v>
      </c>
      <c r="J520" t="s">
        <v>200</v>
      </c>
      <c r="K520" t="s">
        <v>201</v>
      </c>
      <c r="L520" t="s">
        <v>22</v>
      </c>
      <c r="M520" s="1">
        <v>38098</v>
      </c>
      <c r="N520">
        <v>2004</v>
      </c>
    </row>
    <row r="521" spans="1:14">
      <c r="A521" t="s">
        <v>14</v>
      </c>
      <c r="B521" t="str">
        <f>"120108200400"</f>
        <v>120108200400</v>
      </c>
      <c r="C521" t="s">
        <v>2182</v>
      </c>
      <c r="D521" t="s">
        <v>611</v>
      </c>
      <c r="G521" t="s">
        <v>32</v>
      </c>
      <c r="H521" t="s">
        <v>33</v>
      </c>
      <c r="I521" t="s">
        <v>199</v>
      </c>
      <c r="J521" t="s">
        <v>200</v>
      </c>
      <c r="K521" t="s">
        <v>213</v>
      </c>
      <c r="L521" t="s">
        <v>22</v>
      </c>
      <c r="M521" s="1">
        <v>38200</v>
      </c>
      <c r="N521">
        <v>2004</v>
      </c>
    </row>
    <row r="522" spans="1:14">
      <c r="A522" t="s">
        <v>14</v>
      </c>
      <c r="B522" t="str">
        <f>"120306200400"</f>
        <v>120306200400</v>
      </c>
      <c r="C522" t="s">
        <v>2728</v>
      </c>
      <c r="D522" t="s">
        <v>510</v>
      </c>
      <c r="G522" t="s">
        <v>32</v>
      </c>
      <c r="H522" t="s">
        <v>33</v>
      </c>
      <c r="I522" t="s">
        <v>199</v>
      </c>
      <c r="J522" t="s">
        <v>200</v>
      </c>
      <c r="K522" t="s">
        <v>201</v>
      </c>
      <c r="L522" t="s">
        <v>22</v>
      </c>
      <c r="M522" s="1">
        <v>38141</v>
      </c>
      <c r="N522">
        <v>2004</v>
      </c>
    </row>
    <row r="523" spans="1:14">
      <c r="A523" t="s">
        <v>14</v>
      </c>
      <c r="B523" t="str">
        <f>"120409200200"</f>
        <v>120409200200</v>
      </c>
      <c r="C523" t="s">
        <v>193</v>
      </c>
      <c r="D523" t="s">
        <v>198</v>
      </c>
      <c r="G523" t="s">
        <v>32</v>
      </c>
      <c r="H523" t="s">
        <v>65</v>
      </c>
      <c r="I523" t="s">
        <v>199</v>
      </c>
      <c r="J523" t="s">
        <v>200</v>
      </c>
      <c r="K523" t="s">
        <v>201</v>
      </c>
      <c r="L523" t="s">
        <v>202</v>
      </c>
      <c r="M523" s="1">
        <v>37503</v>
      </c>
      <c r="N523">
        <v>2002</v>
      </c>
    </row>
    <row r="524" spans="1:14">
      <c r="A524" t="s">
        <v>14</v>
      </c>
      <c r="B524" t="str">
        <f>"121212200200"</f>
        <v>121212200200</v>
      </c>
      <c r="C524" t="s">
        <v>240</v>
      </c>
      <c r="D524" t="s">
        <v>58</v>
      </c>
      <c r="G524" t="s">
        <v>32</v>
      </c>
      <c r="H524" t="s">
        <v>65</v>
      </c>
      <c r="I524" t="s">
        <v>199</v>
      </c>
      <c r="J524" t="s">
        <v>200</v>
      </c>
      <c r="K524" t="s">
        <v>241</v>
      </c>
      <c r="L524" t="s">
        <v>22</v>
      </c>
      <c r="M524" s="1">
        <v>37602</v>
      </c>
      <c r="N524">
        <v>2002</v>
      </c>
    </row>
    <row r="525" spans="1:14">
      <c r="A525" t="s">
        <v>14</v>
      </c>
      <c r="B525" t="str">
        <f>"120706200202"</f>
        <v>120706200202</v>
      </c>
      <c r="C525" t="s">
        <v>296</v>
      </c>
      <c r="D525" t="s">
        <v>232</v>
      </c>
      <c r="G525" t="s">
        <v>32</v>
      </c>
      <c r="H525" t="s">
        <v>65</v>
      </c>
      <c r="I525" t="s">
        <v>199</v>
      </c>
      <c r="J525" t="s">
        <v>200</v>
      </c>
      <c r="K525" t="s">
        <v>201</v>
      </c>
      <c r="M525" s="1">
        <v>37414</v>
      </c>
      <c r="N525">
        <v>2002</v>
      </c>
    </row>
    <row r="526" spans="1:14">
      <c r="A526" t="s">
        <v>14</v>
      </c>
      <c r="B526" t="str">
        <f>"121404200200"</f>
        <v>121404200200</v>
      </c>
      <c r="C526" t="s">
        <v>379</v>
      </c>
      <c r="D526" t="s">
        <v>380</v>
      </c>
      <c r="G526" t="s">
        <v>32</v>
      </c>
      <c r="H526" t="s">
        <v>65</v>
      </c>
      <c r="I526" t="s">
        <v>199</v>
      </c>
      <c r="J526" t="s">
        <v>200</v>
      </c>
      <c r="K526" t="s">
        <v>201</v>
      </c>
      <c r="L526" t="s">
        <v>22</v>
      </c>
      <c r="M526" s="1">
        <v>37360</v>
      </c>
      <c r="N526">
        <v>2002</v>
      </c>
    </row>
    <row r="527" spans="1:14">
      <c r="A527" t="s">
        <v>14</v>
      </c>
      <c r="B527" t="str">
        <f>"120811200201"</f>
        <v>120811200201</v>
      </c>
      <c r="C527" t="s">
        <v>405</v>
      </c>
      <c r="D527" t="s">
        <v>353</v>
      </c>
      <c r="G527" t="s">
        <v>32</v>
      </c>
      <c r="H527" t="s">
        <v>65</v>
      </c>
      <c r="I527" t="s">
        <v>199</v>
      </c>
      <c r="J527" t="s">
        <v>200</v>
      </c>
      <c r="K527" t="s">
        <v>407</v>
      </c>
      <c r="L527" t="s">
        <v>63</v>
      </c>
      <c r="M527" s="1">
        <v>37568</v>
      </c>
      <c r="N527">
        <v>2002</v>
      </c>
    </row>
    <row r="528" spans="1:14">
      <c r="A528" t="s">
        <v>14</v>
      </c>
      <c r="B528" t="str">
        <f>"121611200300"</f>
        <v>121611200300</v>
      </c>
      <c r="C528" t="s">
        <v>428</v>
      </c>
      <c r="D528" t="s">
        <v>429</v>
      </c>
      <c r="G528" t="s">
        <v>32</v>
      </c>
      <c r="H528" t="s">
        <v>65</v>
      </c>
      <c r="I528" t="s">
        <v>199</v>
      </c>
      <c r="J528" t="s">
        <v>200</v>
      </c>
      <c r="K528" t="s">
        <v>201</v>
      </c>
      <c r="M528" s="1">
        <v>37941</v>
      </c>
      <c r="N528">
        <v>2003</v>
      </c>
    </row>
    <row r="529" spans="1:14">
      <c r="A529" t="s">
        <v>14</v>
      </c>
      <c r="B529" t="str">
        <f>"121905200300"</f>
        <v>121905200300</v>
      </c>
      <c r="C529" t="s">
        <v>811</v>
      </c>
      <c r="D529" t="s">
        <v>194</v>
      </c>
      <c r="G529" t="s">
        <v>32</v>
      </c>
      <c r="H529" t="s">
        <v>65</v>
      </c>
      <c r="I529" t="s">
        <v>199</v>
      </c>
      <c r="J529" t="s">
        <v>200</v>
      </c>
      <c r="K529" t="s">
        <v>201</v>
      </c>
      <c r="M529" s="1">
        <v>37760</v>
      </c>
      <c r="N529">
        <v>2003</v>
      </c>
    </row>
    <row r="530" spans="1:14">
      <c r="A530" t="s">
        <v>14</v>
      </c>
      <c r="B530" t="str">
        <f>"122407200200"</f>
        <v>122407200200</v>
      </c>
      <c r="C530" t="s">
        <v>854</v>
      </c>
      <c r="D530" t="s">
        <v>139</v>
      </c>
      <c r="G530" t="s">
        <v>32</v>
      </c>
      <c r="H530" t="s">
        <v>65</v>
      </c>
      <c r="I530" t="s">
        <v>199</v>
      </c>
      <c r="J530" t="s">
        <v>200</v>
      </c>
      <c r="K530" t="s">
        <v>213</v>
      </c>
      <c r="L530" t="s">
        <v>22</v>
      </c>
      <c r="M530" s="1">
        <v>37461</v>
      </c>
      <c r="N530">
        <v>2002</v>
      </c>
    </row>
    <row r="531" spans="1:14">
      <c r="A531" t="s">
        <v>14</v>
      </c>
      <c r="B531" t="str">
        <f>"122411200201"</f>
        <v>122411200201</v>
      </c>
      <c r="C531" t="s">
        <v>858</v>
      </c>
      <c r="D531" t="s">
        <v>510</v>
      </c>
      <c r="G531" t="s">
        <v>32</v>
      </c>
      <c r="H531" t="s">
        <v>65</v>
      </c>
      <c r="I531" t="s">
        <v>199</v>
      </c>
      <c r="J531" t="s">
        <v>200</v>
      </c>
      <c r="K531" t="s">
        <v>201</v>
      </c>
      <c r="L531" t="s">
        <v>202</v>
      </c>
      <c r="M531" s="1">
        <v>37584</v>
      </c>
      <c r="N531">
        <v>2002</v>
      </c>
    </row>
    <row r="532" spans="1:14">
      <c r="A532" t="s">
        <v>14</v>
      </c>
      <c r="B532" t="str">
        <f>"122511200200"</f>
        <v>122511200200</v>
      </c>
      <c r="C532" t="s">
        <v>934</v>
      </c>
      <c r="D532" t="s">
        <v>233</v>
      </c>
      <c r="G532" t="s">
        <v>32</v>
      </c>
      <c r="H532" t="s">
        <v>65</v>
      </c>
      <c r="I532" t="s">
        <v>199</v>
      </c>
      <c r="J532" t="s">
        <v>200</v>
      </c>
      <c r="K532" t="s">
        <v>201</v>
      </c>
      <c r="L532" t="s">
        <v>63</v>
      </c>
      <c r="M532" s="1">
        <v>37585</v>
      </c>
      <c r="N532">
        <v>2002</v>
      </c>
    </row>
    <row r="533" spans="1:14">
      <c r="A533" t="s">
        <v>14</v>
      </c>
      <c r="B533" t="str">
        <f>"121301200300"</f>
        <v>121301200300</v>
      </c>
      <c r="C533" t="s">
        <v>947</v>
      </c>
      <c r="D533" t="s">
        <v>948</v>
      </c>
      <c r="G533" t="s">
        <v>32</v>
      </c>
      <c r="H533" t="s">
        <v>65</v>
      </c>
      <c r="I533" t="s">
        <v>199</v>
      </c>
      <c r="J533" t="s">
        <v>200</v>
      </c>
      <c r="K533" t="s">
        <v>201</v>
      </c>
      <c r="L533" t="s">
        <v>63</v>
      </c>
      <c r="M533" s="1">
        <v>37634</v>
      </c>
      <c r="N533">
        <v>2003</v>
      </c>
    </row>
    <row r="534" spans="1:14">
      <c r="A534" t="s">
        <v>14</v>
      </c>
      <c r="B534" t="str">
        <f>"121310200300"</f>
        <v>121310200300</v>
      </c>
      <c r="C534" t="s">
        <v>1152</v>
      </c>
      <c r="D534" t="s">
        <v>1153</v>
      </c>
      <c r="G534" t="s">
        <v>32</v>
      </c>
      <c r="H534" t="s">
        <v>65</v>
      </c>
      <c r="I534" t="s">
        <v>199</v>
      </c>
      <c r="J534" t="s">
        <v>200</v>
      </c>
      <c r="K534" t="s">
        <v>213</v>
      </c>
      <c r="L534" t="s">
        <v>22</v>
      </c>
      <c r="M534" s="1">
        <v>37907</v>
      </c>
      <c r="N534">
        <v>2003</v>
      </c>
    </row>
    <row r="535" spans="1:14">
      <c r="A535" t="s">
        <v>14</v>
      </c>
      <c r="B535" t="str">
        <f>"120908200201"</f>
        <v>120908200201</v>
      </c>
      <c r="C535" t="s">
        <v>1156</v>
      </c>
      <c r="D535" t="s">
        <v>541</v>
      </c>
      <c r="G535" t="s">
        <v>32</v>
      </c>
      <c r="H535" t="s">
        <v>65</v>
      </c>
      <c r="I535" t="s">
        <v>199</v>
      </c>
      <c r="J535" t="s">
        <v>200</v>
      </c>
      <c r="K535" t="s">
        <v>213</v>
      </c>
      <c r="M535" s="1">
        <v>37477</v>
      </c>
      <c r="N535">
        <v>2002</v>
      </c>
    </row>
    <row r="536" spans="1:14">
      <c r="A536" t="s">
        <v>14</v>
      </c>
      <c r="B536" t="str">
        <f>"121107200300"</f>
        <v>121107200300</v>
      </c>
      <c r="C536" t="s">
        <v>1171</v>
      </c>
      <c r="D536" t="s">
        <v>127</v>
      </c>
      <c r="G536" t="s">
        <v>32</v>
      </c>
      <c r="H536" t="s">
        <v>65</v>
      </c>
      <c r="I536" t="s">
        <v>199</v>
      </c>
      <c r="J536" t="s">
        <v>200</v>
      </c>
      <c r="K536" t="s">
        <v>201</v>
      </c>
      <c r="L536" t="s">
        <v>22</v>
      </c>
      <c r="M536" s="1">
        <v>37813</v>
      </c>
      <c r="N536">
        <v>2003</v>
      </c>
    </row>
    <row r="537" spans="1:14">
      <c r="A537" t="s">
        <v>14</v>
      </c>
      <c r="B537" t="str">
        <f>"121107200301"</f>
        <v>121107200301</v>
      </c>
      <c r="C537" t="s">
        <v>1171</v>
      </c>
      <c r="D537" t="s">
        <v>184</v>
      </c>
      <c r="G537" t="s">
        <v>32</v>
      </c>
      <c r="H537" t="s">
        <v>65</v>
      </c>
      <c r="I537" t="s">
        <v>199</v>
      </c>
      <c r="J537" t="s">
        <v>200</v>
      </c>
      <c r="K537" t="s">
        <v>201</v>
      </c>
      <c r="L537" t="s">
        <v>22</v>
      </c>
      <c r="M537" s="1">
        <v>37813</v>
      </c>
      <c r="N537">
        <v>2003</v>
      </c>
    </row>
    <row r="538" spans="1:14">
      <c r="A538" t="s">
        <v>14</v>
      </c>
      <c r="B538" t="str">
        <f>"120110200200"</f>
        <v>120110200200</v>
      </c>
      <c r="C538" t="s">
        <v>1229</v>
      </c>
      <c r="D538" t="s">
        <v>127</v>
      </c>
      <c r="G538" t="s">
        <v>32</v>
      </c>
      <c r="H538" t="s">
        <v>65</v>
      </c>
      <c r="I538" t="s">
        <v>199</v>
      </c>
      <c r="J538" t="s">
        <v>200</v>
      </c>
      <c r="K538" t="s">
        <v>201</v>
      </c>
      <c r="L538" t="s">
        <v>202</v>
      </c>
      <c r="M538" s="1">
        <v>37530</v>
      </c>
      <c r="N538">
        <v>2002</v>
      </c>
    </row>
    <row r="539" spans="1:14">
      <c r="A539" t="s">
        <v>14</v>
      </c>
      <c r="B539" t="str">
        <f>"121902200202"</f>
        <v>121902200202</v>
      </c>
      <c r="C539" t="s">
        <v>1295</v>
      </c>
      <c r="D539" t="s">
        <v>429</v>
      </c>
      <c r="G539" t="s">
        <v>32</v>
      </c>
      <c r="H539" t="s">
        <v>65</v>
      </c>
      <c r="I539" t="s">
        <v>199</v>
      </c>
      <c r="J539" t="s">
        <v>200</v>
      </c>
      <c r="K539" t="s">
        <v>201</v>
      </c>
      <c r="L539" t="s">
        <v>202</v>
      </c>
      <c r="M539" s="1">
        <v>37306</v>
      </c>
      <c r="N539">
        <v>2002</v>
      </c>
    </row>
    <row r="540" spans="1:14">
      <c r="A540" t="s">
        <v>14</v>
      </c>
      <c r="B540" t="str">
        <f>"121203200301"</f>
        <v>121203200301</v>
      </c>
      <c r="C540" t="s">
        <v>1347</v>
      </c>
      <c r="D540" t="s">
        <v>234</v>
      </c>
      <c r="G540" t="s">
        <v>32</v>
      </c>
      <c r="H540" t="s">
        <v>65</v>
      </c>
      <c r="I540" t="s">
        <v>199</v>
      </c>
      <c r="J540" t="s">
        <v>200</v>
      </c>
      <c r="K540" t="s">
        <v>213</v>
      </c>
      <c r="M540" s="1">
        <v>37692</v>
      </c>
      <c r="N540">
        <v>2003</v>
      </c>
    </row>
    <row r="541" spans="1:14">
      <c r="A541" t="s">
        <v>14</v>
      </c>
      <c r="B541" t="str">
        <f>"122608200202"</f>
        <v>122608200202</v>
      </c>
      <c r="C541" t="s">
        <v>1347</v>
      </c>
      <c r="D541" t="s">
        <v>194</v>
      </c>
      <c r="G541" t="s">
        <v>32</v>
      </c>
      <c r="H541" t="s">
        <v>65</v>
      </c>
      <c r="I541" t="s">
        <v>199</v>
      </c>
      <c r="J541" t="s">
        <v>200</v>
      </c>
      <c r="K541" t="s">
        <v>201</v>
      </c>
      <c r="L541" t="s">
        <v>202</v>
      </c>
      <c r="M541" s="1">
        <v>37494</v>
      </c>
      <c r="N541">
        <v>2002</v>
      </c>
    </row>
    <row r="542" spans="1:14">
      <c r="A542" t="s">
        <v>14</v>
      </c>
      <c r="B542" t="str">
        <f>"120104200300"</f>
        <v>120104200300</v>
      </c>
      <c r="C542" t="s">
        <v>1469</v>
      </c>
      <c r="D542" t="s">
        <v>233</v>
      </c>
      <c r="G542" t="s">
        <v>32</v>
      </c>
      <c r="H542" t="s">
        <v>65</v>
      </c>
      <c r="I542" t="s">
        <v>199</v>
      </c>
      <c r="J542" t="s">
        <v>200</v>
      </c>
      <c r="K542" t="s">
        <v>201</v>
      </c>
      <c r="L542" t="s">
        <v>22</v>
      </c>
      <c r="M542" s="1">
        <v>37712</v>
      </c>
      <c r="N542">
        <v>2003</v>
      </c>
    </row>
    <row r="543" spans="1:14">
      <c r="A543" t="s">
        <v>14</v>
      </c>
      <c r="B543" t="str">
        <f>"121101200201"</f>
        <v>121101200201</v>
      </c>
      <c r="C543" t="s">
        <v>1512</v>
      </c>
      <c r="D543" t="s">
        <v>1513</v>
      </c>
      <c r="G543" t="s">
        <v>32</v>
      </c>
      <c r="H543" t="s">
        <v>65</v>
      </c>
      <c r="I543" t="s">
        <v>199</v>
      </c>
      <c r="J543" t="s">
        <v>200</v>
      </c>
      <c r="K543" t="s">
        <v>241</v>
      </c>
      <c r="L543" t="s">
        <v>22</v>
      </c>
      <c r="M543" s="1">
        <v>37267</v>
      </c>
      <c r="N543">
        <v>2002</v>
      </c>
    </row>
    <row r="544" spans="1:14">
      <c r="A544" t="s">
        <v>14</v>
      </c>
      <c r="B544" t="str">
        <f>"120401200200"</f>
        <v>120401200200</v>
      </c>
      <c r="C544" t="s">
        <v>1627</v>
      </c>
      <c r="D544" t="s">
        <v>970</v>
      </c>
      <c r="G544" t="s">
        <v>32</v>
      </c>
      <c r="H544" t="s">
        <v>65</v>
      </c>
      <c r="I544" t="s">
        <v>199</v>
      </c>
      <c r="J544" t="s">
        <v>200</v>
      </c>
      <c r="K544" t="s">
        <v>241</v>
      </c>
      <c r="M544" s="1">
        <v>37260</v>
      </c>
      <c r="N544">
        <v>2002</v>
      </c>
    </row>
    <row r="545" spans="1:14">
      <c r="A545" t="s">
        <v>14</v>
      </c>
      <c r="B545" t="str">
        <f>"122603200302"</f>
        <v>122603200302</v>
      </c>
      <c r="C545" t="s">
        <v>1647</v>
      </c>
      <c r="D545" t="s">
        <v>235</v>
      </c>
      <c r="G545" t="s">
        <v>32</v>
      </c>
      <c r="H545" t="s">
        <v>65</v>
      </c>
      <c r="I545" t="s">
        <v>199</v>
      </c>
      <c r="J545" t="s">
        <v>200</v>
      </c>
      <c r="K545" t="s">
        <v>1648</v>
      </c>
      <c r="L545" t="s">
        <v>22</v>
      </c>
      <c r="M545" s="1">
        <v>37706</v>
      </c>
      <c r="N545">
        <v>2003</v>
      </c>
    </row>
    <row r="546" spans="1:14">
      <c r="A546" t="s">
        <v>14</v>
      </c>
      <c r="B546" t="str">
        <f>"122104200200"</f>
        <v>122104200200</v>
      </c>
      <c r="C546" t="s">
        <v>1702</v>
      </c>
      <c r="D546" t="s">
        <v>233</v>
      </c>
      <c r="G546" t="s">
        <v>32</v>
      </c>
      <c r="H546" t="s">
        <v>65</v>
      </c>
      <c r="I546" t="s">
        <v>199</v>
      </c>
      <c r="J546" t="s">
        <v>200</v>
      </c>
      <c r="K546" t="s">
        <v>241</v>
      </c>
      <c r="L546" t="s">
        <v>22</v>
      </c>
      <c r="M546" s="1">
        <v>37367</v>
      </c>
      <c r="N546">
        <v>2002</v>
      </c>
    </row>
    <row r="547" spans="1:14">
      <c r="A547" t="s">
        <v>14</v>
      </c>
      <c r="B547" t="str">
        <f>"120511200300"</f>
        <v>120511200300</v>
      </c>
      <c r="C547" t="s">
        <v>1736</v>
      </c>
      <c r="D547" t="s">
        <v>232</v>
      </c>
      <c r="G547" t="s">
        <v>32</v>
      </c>
      <c r="H547" t="s">
        <v>65</v>
      </c>
      <c r="I547" t="s">
        <v>199</v>
      </c>
      <c r="J547" t="s">
        <v>200</v>
      </c>
      <c r="K547" t="s">
        <v>201</v>
      </c>
      <c r="L547" t="s">
        <v>22</v>
      </c>
      <c r="M547" s="1">
        <v>37930</v>
      </c>
      <c r="N547">
        <v>2003</v>
      </c>
    </row>
    <row r="548" spans="1:14">
      <c r="A548" t="s">
        <v>14</v>
      </c>
      <c r="B548" t="str">
        <f>"122109200300"</f>
        <v>122109200300</v>
      </c>
      <c r="C548" t="s">
        <v>1774</v>
      </c>
      <c r="D548" t="s">
        <v>1050</v>
      </c>
      <c r="G548" t="s">
        <v>32</v>
      </c>
      <c r="H548" t="s">
        <v>65</v>
      </c>
      <c r="I548" t="s">
        <v>199</v>
      </c>
      <c r="J548" t="s">
        <v>200</v>
      </c>
      <c r="K548" t="s">
        <v>210</v>
      </c>
      <c r="L548" t="s">
        <v>63</v>
      </c>
      <c r="M548" s="1">
        <v>37885</v>
      </c>
      <c r="N548">
        <v>2003</v>
      </c>
    </row>
    <row r="549" spans="1:14">
      <c r="A549" t="s">
        <v>14</v>
      </c>
      <c r="B549" t="str">
        <f>"121408200200"</f>
        <v>121408200200</v>
      </c>
      <c r="C549" t="s">
        <v>1780</v>
      </c>
      <c r="D549" t="s">
        <v>1781</v>
      </c>
      <c r="G549" t="s">
        <v>32</v>
      </c>
      <c r="H549" t="s">
        <v>65</v>
      </c>
      <c r="I549" t="s">
        <v>199</v>
      </c>
      <c r="J549" t="s">
        <v>200</v>
      </c>
      <c r="K549" t="s">
        <v>201</v>
      </c>
      <c r="L549" t="s">
        <v>63</v>
      </c>
      <c r="M549" s="1">
        <v>37482</v>
      </c>
      <c r="N549">
        <v>2002</v>
      </c>
    </row>
    <row r="550" spans="1:14">
      <c r="A550" t="s">
        <v>14</v>
      </c>
      <c r="B550" t="str">
        <f>"120811200200"</f>
        <v>120811200200</v>
      </c>
      <c r="C550" t="s">
        <v>1817</v>
      </c>
      <c r="D550" t="s">
        <v>310</v>
      </c>
      <c r="G550" t="s">
        <v>32</v>
      </c>
      <c r="H550" t="s">
        <v>65</v>
      </c>
      <c r="I550" t="s">
        <v>199</v>
      </c>
      <c r="J550" t="s">
        <v>200</v>
      </c>
      <c r="K550" t="s">
        <v>241</v>
      </c>
      <c r="M550" s="1">
        <v>37568</v>
      </c>
      <c r="N550">
        <v>2002</v>
      </c>
    </row>
    <row r="551" spans="1:14">
      <c r="A551" t="s">
        <v>14</v>
      </c>
      <c r="B551" t="str">
        <f>"122602200200"</f>
        <v>122602200200</v>
      </c>
      <c r="C551" t="s">
        <v>1888</v>
      </c>
      <c r="D551" t="s">
        <v>353</v>
      </c>
      <c r="G551" t="s">
        <v>32</v>
      </c>
      <c r="H551" t="s">
        <v>65</v>
      </c>
      <c r="I551" t="s">
        <v>199</v>
      </c>
      <c r="J551" t="s">
        <v>200</v>
      </c>
      <c r="K551" t="s">
        <v>201</v>
      </c>
      <c r="L551" t="s">
        <v>22</v>
      </c>
      <c r="M551" s="1">
        <v>37313</v>
      </c>
      <c r="N551">
        <v>2002</v>
      </c>
    </row>
    <row r="552" spans="1:14">
      <c r="A552" t="s">
        <v>14</v>
      </c>
      <c r="B552" t="str">
        <f>"120901200200"</f>
        <v>120901200200</v>
      </c>
      <c r="C552" t="s">
        <v>1914</v>
      </c>
      <c r="D552" t="s">
        <v>1915</v>
      </c>
      <c r="G552" t="s">
        <v>32</v>
      </c>
      <c r="H552" t="s">
        <v>65</v>
      </c>
      <c r="I552" t="s">
        <v>199</v>
      </c>
      <c r="J552" t="s">
        <v>200</v>
      </c>
      <c r="K552" t="s">
        <v>241</v>
      </c>
      <c r="M552" s="1">
        <v>37265</v>
      </c>
      <c r="N552">
        <v>2002</v>
      </c>
    </row>
    <row r="553" spans="1:14">
      <c r="A553" t="s">
        <v>14</v>
      </c>
      <c r="B553" t="str">
        <f>"121405200300"</f>
        <v>121405200300</v>
      </c>
      <c r="C553" t="s">
        <v>2046</v>
      </c>
      <c r="D553" t="s">
        <v>541</v>
      </c>
      <c r="G553" t="s">
        <v>32</v>
      </c>
      <c r="H553" t="s">
        <v>65</v>
      </c>
      <c r="I553" t="s">
        <v>199</v>
      </c>
      <c r="J553" t="s">
        <v>200</v>
      </c>
      <c r="K553" t="s">
        <v>201</v>
      </c>
      <c r="L553" t="s">
        <v>22</v>
      </c>
      <c r="M553" s="1">
        <v>37755</v>
      </c>
      <c r="N553">
        <v>2003</v>
      </c>
    </row>
    <row r="554" spans="1:14">
      <c r="A554" t="s">
        <v>14</v>
      </c>
      <c r="B554" t="str">
        <f>"120210200201"</f>
        <v>120210200201</v>
      </c>
      <c r="C554" t="s">
        <v>2210</v>
      </c>
      <c r="D554" t="s">
        <v>64</v>
      </c>
      <c r="G554" t="s">
        <v>32</v>
      </c>
      <c r="H554" t="s">
        <v>65</v>
      </c>
      <c r="I554" t="s">
        <v>199</v>
      </c>
      <c r="J554" t="s">
        <v>200</v>
      </c>
      <c r="K554" t="s">
        <v>213</v>
      </c>
      <c r="M554" s="1">
        <v>37531</v>
      </c>
      <c r="N554">
        <v>2002</v>
      </c>
    </row>
    <row r="555" spans="1:14">
      <c r="A555" t="s">
        <v>14</v>
      </c>
      <c r="B555" t="str">
        <f>"122209200300"</f>
        <v>122209200300</v>
      </c>
      <c r="C555" t="s">
        <v>2256</v>
      </c>
      <c r="D555" t="s">
        <v>1005</v>
      </c>
      <c r="G555" t="s">
        <v>32</v>
      </c>
      <c r="H555" t="s">
        <v>65</v>
      </c>
      <c r="I555" t="s">
        <v>199</v>
      </c>
      <c r="J555" t="s">
        <v>200</v>
      </c>
      <c r="K555" t="s">
        <v>201</v>
      </c>
      <c r="L555" t="s">
        <v>22</v>
      </c>
      <c r="M555" s="1">
        <v>37886</v>
      </c>
      <c r="N555">
        <v>2003</v>
      </c>
    </row>
    <row r="556" spans="1:14">
      <c r="A556" t="s">
        <v>14</v>
      </c>
      <c r="B556" t="str">
        <f>"121106200200"</f>
        <v>121106200200</v>
      </c>
      <c r="C556" t="s">
        <v>2355</v>
      </c>
      <c r="D556" t="s">
        <v>233</v>
      </c>
      <c r="G556" t="s">
        <v>32</v>
      </c>
      <c r="H556" t="s">
        <v>65</v>
      </c>
      <c r="I556" t="s">
        <v>199</v>
      </c>
      <c r="J556" t="s">
        <v>200</v>
      </c>
      <c r="K556" t="s">
        <v>241</v>
      </c>
      <c r="L556" t="s">
        <v>22</v>
      </c>
      <c r="M556" s="1">
        <v>37418</v>
      </c>
      <c r="N556">
        <v>2002</v>
      </c>
    </row>
    <row r="557" spans="1:14">
      <c r="A557" t="s">
        <v>14</v>
      </c>
      <c r="B557" t="str">
        <f>"122504200300"</f>
        <v>122504200300</v>
      </c>
      <c r="C557" t="s">
        <v>2375</v>
      </c>
      <c r="D557" t="s">
        <v>184</v>
      </c>
      <c r="G557" t="s">
        <v>32</v>
      </c>
      <c r="H557" t="s">
        <v>65</v>
      </c>
      <c r="I557" t="s">
        <v>199</v>
      </c>
      <c r="J557" t="s">
        <v>200</v>
      </c>
      <c r="K557" t="s">
        <v>201</v>
      </c>
      <c r="L557" t="s">
        <v>63</v>
      </c>
      <c r="M557" s="1">
        <v>37736</v>
      </c>
      <c r="N557">
        <v>2003</v>
      </c>
    </row>
    <row r="558" spans="1:14">
      <c r="A558" t="s">
        <v>14</v>
      </c>
      <c r="B558" t="str">
        <f>"120711200200"</f>
        <v>120711200200</v>
      </c>
      <c r="C558" t="s">
        <v>2411</v>
      </c>
      <c r="D558" t="s">
        <v>64</v>
      </c>
      <c r="G558" t="s">
        <v>32</v>
      </c>
      <c r="H558" t="s">
        <v>65</v>
      </c>
      <c r="I558" t="s">
        <v>199</v>
      </c>
      <c r="J558" t="s">
        <v>200</v>
      </c>
      <c r="K558" t="s">
        <v>241</v>
      </c>
      <c r="L558" t="s">
        <v>22</v>
      </c>
      <c r="M558" s="1">
        <v>37567</v>
      </c>
      <c r="N558">
        <v>2002</v>
      </c>
    </row>
    <row r="559" spans="1:14">
      <c r="A559" t="s">
        <v>14</v>
      </c>
      <c r="B559" t="str">
        <f>"122010200200"</f>
        <v>122010200200</v>
      </c>
      <c r="C559" t="s">
        <v>2494</v>
      </c>
      <c r="D559" t="s">
        <v>58</v>
      </c>
      <c r="G559" t="s">
        <v>32</v>
      </c>
      <c r="H559" t="s">
        <v>65</v>
      </c>
      <c r="I559" t="s">
        <v>199</v>
      </c>
      <c r="J559" t="s">
        <v>200</v>
      </c>
      <c r="K559" t="s">
        <v>201</v>
      </c>
      <c r="L559" t="s">
        <v>63</v>
      </c>
      <c r="M559" s="1">
        <v>37549</v>
      </c>
      <c r="N559">
        <v>2002</v>
      </c>
    </row>
    <row r="560" spans="1:14">
      <c r="A560" t="s">
        <v>14</v>
      </c>
      <c r="B560" t="str">
        <f>"122208200200"</f>
        <v>122208200200</v>
      </c>
      <c r="C560" t="s">
        <v>2764</v>
      </c>
      <c r="D560" t="s">
        <v>152</v>
      </c>
      <c r="G560" t="s">
        <v>32</v>
      </c>
      <c r="H560" t="s">
        <v>65</v>
      </c>
      <c r="I560" t="s">
        <v>199</v>
      </c>
      <c r="J560" t="s">
        <v>200</v>
      </c>
      <c r="K560" t="s">
        <v>201</v>
      </c>
      <c r="L560" t="s">
        <v>22</v>
      </c>
      <c r="M560" s="1">
        <v>37490</v>
      </c>
      <c r="N560">
        <v>2002</v>
      </c>
    </row>
    <row r="561" spans="1:14">
      <c r="A561" t="s">
        <v>14</v>
      </c>
      <c r="B561" t="str">
        <f>"122012200200"</f>
        <v>122012200200</v>
      </c>
      <c r="C561" t="s">
        <v>2860</v>
      </c>
      <c r="D561" t="s">
        <v>203</v>
      </c>
      <c r="G561" t="s">
        <v>32</v>
      </c>
      <c r="H561" t="s">
        <v>65</v>
      </c>
      <c r="I561" t="s">
        <v>199</v>
      </c>
      <c r="J561" t="s">
        <v>200</v>
      </c>
      <c r="K561" t="s">
        <v>241</v>
      </c>
      <c r="M561" s="1">
        <v>37610</v>
      </c>
      <c r="N561">
        <v>2002</v>
      </c>
    </row>
    <row r="562" spans="1:14">
      <c r="A562" t="s">
        <v>14</v>
      </c>
      <c r="B562" t="str">
        <f>"121406200201"</f>
        <v>121406200201</v>
      </c>
      <c r="C562" t="s">
        <v>2874</v>
      </c>
      <c r="D562" t="s">
        <v>184</v>
      </c>
      <c r="G562" t="s">
        <v>32</v>
      </c>
      <c r="H562" t="s">
        <v>65</v>
      </c>
      <c r="I562" t="s">
        <v>199</v>
      </c>
      <c r="J562" t="s">
        <v>200</v>
      </c>
      <c r="K562" t="s">
        <v>201</v>
      </c>
      <c r="L562" t="s">
        <v>22</v>
      </c>
      <c r="M562" s="1">
        <v>37421</v>
      </c>
      <c r="N562">
        <v>2002</v>
      </c>
    </row>
    <row r="563" spans="1:14">
      <c r="A563" t="s">
        <v>14</v>
      </c>
      <c r="B563" t="str">
        <f>"121406200200"</f>
        <v>121406200200</v>
      </c>
      <c r="C563" t="s">
        <v>2874</v>
      </c>
      <c r="D563" t="s">
        <v>233</v>
      </c>
      <c r="G563" t="s">
        <v>32</v>
      </c>
      <c r="H563" t="s">
        <v>65</v>
      </c>
      <c r="I563" t="s">
        <v>199</v>
      </c>
      <c r="J563" t="s">
        <v>200</v>
      </c>
      <c r="K563" t="s">
        <v>201</v>
      </c>
      <c r="L563" t="s">
        <v>22</v>
      </c>
      <c r="M563" s="1">
        <v>37421</v>
      </c>
      <c r="N563">
        <v>2002</v>
      </c>
    </row>
    <row r="564" spans="1:14">
      <c r="A564" t="s">
        <v>14</v>
      </c>
      <c r="B564" t="str">
        <f>"121602200300"</f>
        <v>121602200300</v>
      </c>
      <c r="C564" t="s">
        <v>2904</v>
      </c>
      <c r="D564" t="s">
        <v>184</v>
      </c>
      <c r="G564" t="s">
        <v>32</v>
      </c>
      <c r="H564" t="s">
        <v>65</v>
      </c>
      <c r="I564" t="s">
        <v>199</v>
      </c>
      <c r="J564" t="s">
        <v>200</v>
      </c>
      <c r="K564" t="s">
        <v>201</v>
      </c>
      <c r="L564" t="s">
        <v>22</v>
      </c>
      <c r="M564" s="1">
        <v>37668</v>
      </c>
      <c r="N564">
        <v>2003</v>
      </c>
    </row>
    <row r="565" spans="1:14">
      <c r="A565" t="s">
        <v>14</v>
      </c>
      <c r="B565" t="str">
        <f>"122107199700"</f>
        <v>122107199700</v>
      </c>
      <c r="C565" t="s">
        <v>881</v>
      </c>
      <c r="D565" t="s">
        <v>233</v>
      </c>
      <c r="G565" t="s">
        <v>32</v>
      </c>
      <c r="H565" t="s">
        <v>59</v>
      </c>
      <c r="I565" t="s">
        <v>199</v>
      </c>
      <c r="J565" t="s">
        <v>200</v>
      </c>
      <c r="K565" t="s">
        <v>201</v>
      </c>
      <c r="L565" t="s">
        <v>48</v>
      </c>
      <c r="M565" s="1">
        <v>35632</v>
      </c>
      <c r="N565">
        <v>1997</v>
      </c>
    </row>
    <row r="566" spans="1:14">
      <c r="A566" t="s">
        <v>14</v>
      </c>
      <c r="B566" t="str">
        <f>"122002200102"</f>
        <v>122002200102</v>
      </c>
      <c r="C566" t="s">
        <v>743</v>
      </c>
      <c r="D566" t="s">
        <v>205</v>
      </c>
      <c r="G566" t="s">
        <v>32</v>
      </c>
      <c r="H566" t="s">
        <v>44</v>
      </c>
      <c r="I566" t="s">
        <v>199</v>
      </c>
      <c r="J566" t="s">
        <v>200</v>
      </c>
      <c r="K566" t="s">
        <v>201</v>
      </c>
      <c r="L566" t="s">
        <v>22</v>
      </c>
      <c r="M566" s="1">
        <v>36942</v>
      </c>
      <c r="N566">
        <v>2001</v>
      </c>
    </row>
    <row r="567" spans="1:14">
      <c r="A567" t="s">
        <v>14</v>
      </c>
      <c r="B567" t="str">
        <f>"121701200100"</f>
        <v>121701200100</v>
      </c>
      <c r="C567" t="s">
        <v>911</v>
      </c>
      <c r="D567" t="s">
        <v>524</v>
      </c>
      <c r="G567" t="s">
        <v>32</v>
      </c>
      <c r="H567" t="s">
        <v>44</v>
      </c>
      <c r="I567" t="s">
        <v>199</v>
      </c>
      <c r="J567" t="s">
        <v>200</v>
      </c>
      <c r="K567" t="s">
        <v>201</v>
      </c>
      <c r="L567" t="s">
        <v>202</v>
      </c>
      <c r="M567" s="1">
        <v>36908</v>
      </c>
      <c r="N567">
        <v>2001</v>
      </c>
    </row>
    <row r="568" spans="1:14">
      <c r="A568" t="s">
        <v>14</v>
      </c>
      <c r="B568" t="str">
        <f>"121112200102"</f>
        <v>121112200102</v>
      </c>
      <c r="C568" t="s">
        <v>1308</v>
      </c>
      <c r="D568" t="s">
        <v>205</v>
      </c>
      <c r="G568" t="s">
        <v>32</v>
      </c>
      <c r="H568" t="s">
        <v>44</v>
      </c>
      <c r="I568" t="s">
        <v>199</v>
      </c>
      <c r="J568" t="s">
        <v>200</v>
      </c>
      <c r="K568" t="s">
        <v>241</v>
      </c>
      <c r="L568" t="s">
        <v>22</v>
      </c>
      <c r="M568" s="1">
        <v>37236</v>
      </c>
      <c r="N568">
        <v>2001</v>
      </c>
    </row>
    <row r="569" spans="1:14">
      <c r="A569" t="s">
        <v>14</v>
      </c>
      <c r="B569" t="str">
        <f>"121009200000"</f>
        <v>121009200000</v>
      </c>
      <c r="C569" t="s">
        <v>1383</v>
      </c>
      <c r="D569" t="s">
        <v>127</v>
      </c>
      <c r="G569" t="s">
        <v>32</v>
      </c>
      <c r="H569" t="s">
        <v>44</v>
      </c>
      <c r="I569" t="s">
        <v>199</v>
      </c>
      <c r="J569" t="s">
        <v>200</v>
      </c>
      <c r="K569" t="s">
        <v>201</v>
      </c>
      <c r="L569" t="s">
        <v>63</v>
      </c>
      <c r="M569" s="1">
        <v>36779</v>
      </c>
      <c r="N569">
        <v>2000</v>
      </c>
    </row>
    <row r="570" spans="1:14">
      <c r="A570" t="s">
        <v>14</v>
      </c>
      <c r="B570" t="str">
        <f>"120207200100"</f>
        <v>120207200100</v>
      </c>
      <c r="C570" t="s">
        <v>1407</v>
      </c>
      <c r="D570" t="s">
        <v>1408</v>
      </c>
      <c r="G570" t="s">
        <v>32</v>
      </c>
      <c r="H570" t="s">
        <v>44</v>
      </c>
      <c r="I570" t="s">
        <v>199</v>
      </c>
      <c r="J570" t="s">
        <v>200</v>
      </c>
      <c r="K570" t="s">
        <v>241</v>
      </c>
      <c r="L570" t="s">
        <v>63</v>
      </c>
      <c r="M570" s="1">
        <v>37074</v>
      </c>
      <c r="N570">
        <v>2001</v>
      </c>
    </row>
    <row r="571" spans="1:14">
      <c r="A571" t="s">
        <v>14</v>
      </c>
      <c r="B571" t="str">
        <f>"121509200002"</f>
        <v>121509200002</v>
      </c>
      <c r="C571" t="s">
        <v>1601</v>
      </c>
      <c r="D571" t="s">
        <v>611</v>
      </c>
      <c r="G571" t="s">
        <v>32</v>
      </c>
      <c r="H571" t="s">
        <v>44</v>
      </c>
      <c r="I571" t="s">
        <v>199</v>
      </c>
      <c r="J571" t="s">
        <v>200</v>
      </c>
      <c r="K571" t="s">
        <v>201</v>
      </c>
      <c r="L571" t="s">
        <v>22</v>
      </c>
      <c r="M571" s="1">
        <v>36784</v>
      </c>
      <c r="N571">
        <v>2000</v>
      </c>
    </row>
    <row r="572" spans="1:14">
      <c r="A572" t="s">
        <v>14</v>
      </c>
      <c r="B572" t="str">
        <f>"122210200101"</f>
        <v>122210200101</v>
      </c>
      <c r="C572" t="s">
        <v>1682</v>
      </c>
      <c r="D572" t="s">
        <v>58</v>
      </c>
      <c r="G572" t="s">
        <v>32</v>
      </c>
      <c r="H572" t="s">
        <v>44</v>
      </c>
      <c r="I572" t="s">
        <v>199</v>
      </c>
      <c r="J572" t="s">
        <v>200</v>
      </c>
      <c r="K572" t="s">
        <v>210</v>
      </c>
      <c r="M572" s="1">
        <v>37186</v>
      </c>
      <c r="N572">
        <v>2001</v>
      </c>
    </row>
    <row r="573" spans="1:14">
      <c r="A573" t="s">
        <v>14</v>
      </c>
      <c r="B573" t="str">
        <f>"120308200000"</f>
        <v>120308200000</v>
      </c>
      <c r="C573" t="s">
        <v>1864</v>
      </c>
      <c r="D573" t="s">
        <v>64</v>
      </c>
      <c r="G573" t="s">
        <v>32</v>
      </c>
      <c r="H573" t="s">
        <v>44</v>
      </c>
      <c r="I573" t="s">
        <v>199</v>
      </c>
      <c r="J573" t="s">
        <v>200</v>
      </c>
      <c r="K573" t="s">
        <v>201</v>
      </c>
      <c r="L573" t="s">
        <v>63</v>
      </c>
      <c r="M573" s="1">
        <v>36741</v>
      </c>
      <c r="N573">
        <v>2000</v>
      </c>
    </row>
    <row r="574" spans="1:14">
      <c r="A574" t="s">
        <v>14</v>
      </c>
      <c r="B574" t="str">
        <f>"121009199901"</f>
        <v>121009199901</v>
      </c>
      <c r="C574" t="s">
        <v>1966</v>
      </c>
      <c r="D574" t="s">
        <v>233</v>
      </c>
      <c r="G574" t="s">
        <v>32</v>
      </c>
      <c r="H574" t="s">
        <v>44</v>
      </c>
      <c r="I574" t="s">
        <v>199</v>
      </c>
      <c r="J574" t="s">
        <v>200</v>
      </c>
      <c r="K574" t="s">
        <v>1967</v>
      </c>
      <c r="L574" t="s">
        <v>63</v>
      </c>
      <c r="M574" s="1">
        <v>36413</v>
      </c>
      <c r="N574">
        <v>1999</v>
      </c>
    </row>
    <row r="575" spans="1:14">
      <c r="A575" t="s">
        <v>14</v>
      </c>
      <c r="B575" t="str">
        <f>"120211200003"</f>
        <v>120211200003</v>
      </c>
      <c r="C575" t="s">
        <v>2211</v>
      </c>
      <c r="D575" t="s">
        <v>184</v>
      </c>
      <c r="G575" t="s">
        <v>32</v>
      </c>
      <c r="H575" t="s">
        <v>44</v>
      </c>
      <c r="I575" t="s">
        <v>199</v>
      </c>
      <c r="J575" t="s">
        <v>200</v>
      </c>
      <c r="K575" t="s">
        <v>241</v>
      </c>
      <c r="L575" t="s">
        <v>22</v>
      </c>
      <c r="M575" s="1">
        <v>36832</v>
      </c>
      <c r="N575">
        <v>2000</v>
      </c>
    </row>
    <row r="576" spans="1:14">
      <c r="A576" t="s">
        <v>14</v>
      </c>
      <c r="B576" t="str">
        <f>"120411200100"</f>
        <v>120411200100</v>
      </c>
      <c r="C576" t="s">
        <v>2314</v>
      </c>
      <c r="D576" t="s">
        <v>205</v>
      </c>
      <c r="G576" t="s">
        <v>32</v>
      </c>
      <c r="H576" t="s">
        <v>44</v>
      </c>
      <c r="I576" t="s">
        <v>199</v>
      </c>
      <c r="J576" t="s">
        <v>200</v>
      </c>
      <c r="K576" t="s">
        <v>241</v>
      </c>
      <c r="M576" s="1">
        <v>37199</v>
      </c>
      <c r="N576">
        <v>2001</v>
      </c>
    </row>
    <row r="577" spans="1:14">
      <c r="A577" t="s">
        <v>14</v>
      </c>
      <c r="B577" t="str">
        <f>"122401200100"</f>
        <v>122401200100</v>
      </c>
      <c r="C577" t="s">
        <v>2353</v>
      </c>
      <c r="D577" t="s">
        <v>127</v>
      </c>
      <c r="G577" t="s">
        <v>32</v>
      </c>
      <c r="H577" t="s">
        <v>44</v>
      </c>
      <c r="I577" t="s">
        <v>199</v>
      </c>
      <c r="J577" t="s">
        <v>200</v>
      </c>
      <c r="K577" t="s">
        <v>241</v>
      </c>
      <c r="L577" t="s">
        <v>22</v>
      </c>
      <c r="M577" s="1">
        <v>36915</v>
      </c>
      <c r="N577">
        <v>2001</v>
      </c>
    </row>
    <row r="578" spans="1:14">
      <c r="A578" t="s">
        <v>14</v>
      </c>
      <c r="B578" t="str">
        <f>"120102200100"</f>
        <v>120102200100</v>
      </c>
      <c r="C578" t="s">
        <v>2411</v>
      </c>
      <c r="D578" t="s">
        <v>421</v>
      </c>
      <c r="G578" t="s">
        <v>32</v>
      </c>
      <c r="H578" t="s">
        <v>44</v>
      </c>
      <c r="I578" t="s">
        <v>199</v>
      </c>
      <c r="J578" t="s">
        <v>200</v>
      </c>
      <c r="K578" t="s">
        <v>201</v>
      </c>
      <c r="L578" t="s">
        <v>63</v>
      </c>
      <c r="M578" s="1">
        <v>36923</v>
      </c>
      <c r="N578">
        <v>2001</v>
      </c>
    </row>
    <row r="579" spans="1:14">
      <c r="A579" t="s">
        <v>14</v>
      </c>
      <c r="B579" t="str">
        <f>"120902200000"</f>
        <v>120902200000</v>
      </c>
      <c r="C579" t="s">
        <v>2575</v>
      </c>
      <c r="D579" t="s">
        <v>970</v>
      </c>
      <c r="G579" t="s">
        <v>32</v>
      </c>
      <c r="H579" t="s">
        <v>44</v>
      </c>
      <c r="I579" t="s">
        <v>199</v>
      </c>
      <c r="J579" t="s">
        <v>200</v>
      </c>
      <c r="K579" t="s">
        <v>241</v>
      </c>
      <c r="L579" t="s">
        <v>63</v>
      </c>
      <c r="M579" s="1">
        <v>36565</v>
      </c>
      <c r="N579">
        <v>2000</v>
      </c>
    </row>
    <row r="580" spans="1:14">
      <c r="A580" t="s">
        <v>14</v>
      </c>
      <c r="B580" t="str">
        <f>"120911200101"</f>
        <v>120911200101</v>
      </c>
      <c r="C580" t="s">
        <v>2740</v>
      </c>
      <c r="D580" t="s">
        <v>143</v>
      </c>
      <c r="G580" t="s">
        <v>32</v>
      </c>
      <c r="H580" t="s">
        <v>44</v>
      </c>
      <c r="I580" t="s">
        <v>199</v>
      </c>
      <c r="J580" t="s">
        <v>200</v>
      </c>
      <c r="K580" t="s">
        <v>241</v>
      </c>
      <c r="M580" s="1">
        <v>37204</v>
      </c>
      <c r="N580">
        <v>2001</v>
      </c>
    </row>
    <row r="581" spans="1:14">
      <c r="A581" t="s">
        <v>14</v>
      </c>
      <c r="B581" t="str">
        <f>"111406199801"</f>
        <v>111406199801</v>
      </c>
      <c r="C581" t="s">
        <v>533</v>
      </c>
      <c r="D581" t="s">
        <v>534</v>
      </c>
      <c r="G581" t="s">
        <v>17</v>
      </c>
      <c r="H581" t="s">
        <v>25</v>
      </c>
      <c r="I581" t="s">
        <v>199</v>
      </c>
      <c r="J581" t="s">
        <v>200</v>
      </c>
      <c r="K581" t="s">
        <v>201</v>
      </c>
      <c r="L581" t="s">
        <v>63</v>
      </c>
      <c r="M581" s="1">
        <v>35960</v>
      </c>
      <c r="N581">
        <v>1998</v>
      </c>
    </row>
    <row r="582" spans="1:14">
      <c r="A582" t="s">
        <v>14</v>
      </c>
      <c r="B582" t="str">
        <f>"110307199800"</f>
        <v>110307199800</v>
      </c>
      <c r="C582" t="s">
        <v>742</v>
      </c>
      <c r="D582" t="s">
        <v>221</v>
      </c>
      <c r="G582" t="s">
        <v>17</v>
      </c>
      <c r="H582" t="s">
        <v>25</v>
      </c>
      <c r="I582" t="s">
        <v>199</v>
      </c>
      <c r="J582" t="s">
        <v>200</v>
      </c>
      <c r="K582" t="s">
        <v>201</v>
      </c>
      <c r="L582" t="s">
        <v>48</v>
      </c>
      <c r="M582" s="1">
        <v>35979</v>
      </c>
      <c r="N582">
        <v>1998</v>
      </c>
    </row>
    <row r="583" spans="1:14">
      <c r="A583" t="s">
        <v>14</v>
      </c>
      <c r="B583" t="str">
        <f>"110801199800"</f>
        <v>110801199800</v>
      </c>
      <c r="C583" t="s">
        <v>910</v>
      </c>
      <c r="D583" t="s">
        <v>98</v>
      </c>
      <c r="G583" t="s">
        <v>17</v>
      </c>
      <c r="H583" t="s">
        <v>25</v>
      </c>
      <c r="I583" t="s">
        <v>199</v>
      </c>
      <c r="J583" t="s">
        <v>200</v>
      </c>
      <c r="K583" t="s">
        <v>213</v>
      </c>
      <c r="L583" t="s">
        <v>48</v>
      </c>
      <c r="M583" s="1">
        <v>35803</v>
      </c>
      <c r="N583">
        <v>1998</v>
      </c>
    </row>
    <row r="584" spans="1:14">
      <c r="A584" t="s">
        <v>14</v>
      </c>
      <c r="B584" t="str">
        <f>"110112199700"</f>
        <v>110112199700</v>
      </c>
      <c r="C584" t="s">
        <v>1789</v>
      </c>
      <c r="D584" t="s">
        <v>268</v>
      </c>
      <c r="G584" t="s">
        <v>17</v>
      </c>
      <c r="H584" t="s">
        <v>25</v>
      </c>
      <c r="I584" t="s">
        <v>199</v>
      </c>
      <c r="J584" t="s">
        <v>200</v>
      </c>
      <c r="K584" t="s">
        <v>201</v>
      </c>
      <c r="L584" t="s">
        <v>48</v>
      </c>
      <c r="M584" s="1">
        <v>35765</v>
      </c>
      <c r="N584">
        <v>1997</v>
      </c>
    </row>
    <row r="585" spans="1:14">
      <c r="A585" t="s">
        <v>14</v>
      </c>
      <c r="B585" t="str">
        <f>"110209199800"</f>
        <v>110209199800</v>
      </c>
      <c r="C585" t="s">
        <v>2677</v>
      </c>
      <c r="D585" t="s">
        <v>2678</v>
      </c>
      <c r="G585" t="s">
        <v>17</v>
      </c>
      <c r="H585" t="s">
        <v>25</v>
      </c>
      <c r="I585" t="s">
        <v>199</v>
      </c>
      <c r="J585" t="s">
        <v>200</v>
      </c>
      <c r="K585" t="s">
        <v>213</v>
      </c>
      <c r="L585" t="s">
        <v>48</v>
      </c>
      <c r="M585" s="1">
        <v>36040</v>
      </c>
      <c r="N585">
        <v>1998</v>
      </c>
    </row>
    <row r="586" spans="1:14">
      <c r="A586" t="s">
        <v>14</v>
      </c>
      <c r="B586" t="str">
        <f>"112812200002"</f>
        <v>112812200002</v>
      </c>
      <c r="C586" t="s">
        <v>208</v>
      </c>
      <c r="D586" t="s">
        <v>209</v>
      </c>
      <c r="G586" t="s">
        <v>17</v>
      </c>
      <c r="H586" t="s">
        <v>18</v>
      </c>
      <c r="I586" t="s">
        <v>199</v>
      </c>
      <c r="J586" t="s">
        <v>200</v>
      </c>
      <c r="K586" t="s">
        <v>210</v>
      </c>
      <c r="L586" t="s">
        <v>22</v>
      </c>
      <c r="M586" s="1">
        <v>36888</v>
      </c>
      <c r="N586">
        <v>2000</v>
      </c>
    </row>
    <row r="587" spans="1:14">
      <c r="A587" t="s">
        <v>14</v>
      </c>
      <c r="B587" t="str">
        <f>"111505200100"</f>
        <v>111505200100</v>
      </c>
      <c r="C587" t="s">
        <v>255</v>
      </c>
      <c r="D587" t="s">
        <v>256</v>
      </c>
      <c r="G587" t="s">
        <v>17</v>
      </c>
      <c r="H587" t="s">
        <v>18</v>
      </c>
      <c r="I587" t="s">
        <v>199</v>
      </c>
      <c r="J587" t="s">
        <v>200</v>
      </c>
      <c r="K587" t="s">
        <v>201</v>
      </c>
      <c r="L587" t="s">
        <v>63</v>
      </c>
      <c r="M587" s="1">
        <v>37026</v>
      </c>
      <c r="N587">
        <v>2001</v>
      </c>
    </row>
    <row r="588" spans="1:14">
      <c r="A588" t="s">
        <v>14</v>
      </c>
      <c r="B588" t="str">
        <f>"110501200000"</f>
        <v>110501200000</v>
      </c>
      <c r="C588" t="s">
        <v>269</v>
      </c>
      <c r="D588" t="s">
        <v>209</v>
      </c>
      <c r="G588" t="s">
        <v>17</v>
      </c>
      <c r="H588" t="s">
        <v>18</v>
      </c>
      <c r="I588" t="s">
        <v>199</v>
      </c>
      <c r="J588" t="s">
        <v>200</v>
      </c>
      <c r="K588" t="s">
        <v>201</v>
      </c>
      <c r="L588" t="s">
        <v>22</v>
      </c>
      <c r="M588" s="1">
        <v>36530</v>
      </c>
      <c r="N588">
        <v>2000</v>
      </c>
    </row>
    <row r="589" spans="1:14">
      <c r="A589" t="s">
        <v>14</v>
      </c>
      <c r="B589" t="str">
        <f>"111304200101"</f>
        <v>111304200101</v>
      </c>
      <c r="C589" t="s">
        <v>293</v>
      </c>
      <c r="D589" t="s">
        <v>294</v>
      </c>
      <c r="G589" t="s">
        <v>17</v>
      </c>
      <c r="H589" t="s">
        <v>18</v>
      </c>
      <c r="I589" t="s">
        <v>199</v>
      </c>
      <c r="J589" t="s">
        <v>200</v>
      </c>
      <c r="K589" t="s">
        <v>241</v>
      </c>
      <c r="M589" s="1">
        <v>36994</v>
      </c>
      <c r="N589">
        <v>2001</v>
      </c>
    </row>
    <row r="590" spans="1:14">
      <c r="A590" t="s">
        <v>14</v>
      </c>
      <c r="B590" t="str">
        <f>"110309200100"</f>
        <v>110309200100</v>
      </c>
      <c r="C590" t="s">
        <v>304</v>
      </c>
      <c r="D590" t="s">
        <v>305</v>
      </c>
      <c r="G590" t="s">
        <v>17</v>
      </c>
      <c r="H590" t="s">
        <v>18</v>
      </c>
      <c r="I590" t="s">
        <v>199</v>
      </c>
      <c r="J590" t="s">
        <v>200</v>
      </c>
      <c r="K590" t="s">
        <v>201</v>
      </c>
      <c r="L590" t="s">
        <v>22</v>
      </c>
      <c r="M590" s="1">
        <v>37137</v>
      </c>
      <c r="N590">
        <v>2001</v>
      </c>
    </row>
    <row r="591" spans="1:14">
      <c r="A591" t="s">
        <v>14</v>
      </c>
      <c r="B591" t="str">
        <f>"112108200101"</f>
        <v>112108200101</v>
      </c>
      <c r="C591" t="s">
        <v>396</v>
      </c>
      <c r="D591" t="s">
        <v>70</v>
      </c>
      <c r="G591" t="s">
        <v>17</v>
      </c>
      <c r="H591" t="s">
        <v>18</v>
      </c>
      <c r="I591" t="s">
        <v>199</v>
      </c>
      <c r="J591" t="s">
        <v>200</v>
      </c>
      <c r="K591" t="s">
        <v>241</v>
      </c>
      <c r="M591" s="1">
        <v>37124</v>
      </c>
      <c r="N591">
        <v>2001</v>
      </c>
    </row>
    <row r="592" spans="1:14">
      <c r="A592" t="s">
        <v>14</v>
      </c>
      <c r="B592" t="str">
        <f>"110607199900"</f>
        <v>110607199900</v>
      </c>
      <c r="C592" t="s">
        <v>556</v>
      </c>
      <c r="D592" t="s">
        <v>50</v>
      </c>
      <c r="G592" t="s">
        <v>17</v>
      </c>
      <c r="H592" t="s">
        <v>18</v>
      </c>
      <c r="I592" t="s">
        <v>199</v>
      </c>
      <c r="J592" t="s">
        <v>200</v>
      </c>
      <c r="K592" t="s">
        <v>201</v>
      </c>
      <c r="L592" t="s">
        <v>63</v>
      </c>
      <c r="M592" s="1">
        <v>36347</v>
      </c>
      <c r="N592">
        <v>1999</v>
      </c>
    </row>
    <row r="593" spans="1:14">
      <c r="A593" t="s">
        <v>14</v>
      </c>
      <c r="B593" t="str">
        <f>"112501200101"</f>
        <v>112501200101</v>
      </c>
      <c r="C593" t="s">
        <v>557</v>
      </c>
      <c r="D593" t="s">
        <v>558</v>
      </c>
      <c r="G593" t="s">
        <v>17</v>
      </c>
      <c r="H593" t="s">
        <v>18</v>
      </c>
      <c r="I593" t="s">
        <v>199</v>
      </c>
      <c r="J593" t="s">
        <v>200</v>
      </c>
      <c r="K593" t="s">
        <v>201</v>
      </c>
      <c r="M593" s="1">
        <v>36916</v>
      </c>
      <c r="N593">
        <v>2001</v>
      </c>
    </row>
    <row r="594" spans="1:14">
      <c r="A594" t="s">
        <v>14</v>
      </c>
      <c r="B594" t="str">
        <f>"110503199902"</f>
        <v>110503199902</v>
      </c>
      <c r="C594" t="s">
        <v>581</v>
      </c>
      <c r="D594" t="s">
        <v>582</v>
      </c>
      <c r="G594" t="s">
        <v>17</v>
      </c>
      <c r="H594" t="s">
        <v>18</v>
      </c>
      <c r="I594" t="s">
        <v>199</v>
      </c>
      <c r="J594" t="s">
        <v>200</v>
      </c>
      <c r="K594" t="s">
        <v>241</v>
      </c>
      <c r="L594" t="s">
        <v>22</v>
      </c>
      <c r="M594" s="1">
        <v>36224</v>
      </c>
      <c r="N594">
        <v>1999</v>
      </c>
    </row>
    <row r="595" spans="1:14">
      <c r="A595" t="s">
        <v>14</v>
      </c>
      <c r="B595" t="str">
        <f>"110502200100"</f>
        <v>110502200100</v>
      </c>
      <c r="C595" t="s">
        <v>607</v>
      </c>
      <c r="D595" t="s">
        <v>289</v>
      </c>
      <c r="G595" t="s">
        <v>17</v>
      </c>
      <c r="H595" t="s">
        <v>18</v>
      </c>
      <c r="I595" t="s">
        <v>199</v>
      </c>
      <c r="J595" t="s">
        <v>200</v>
      </c>
      <c r="K595" t="s">
        <v>201</v>
      </c>
      <c r="M595" s="1">
        <v>36927</v>
      </c>
      <c r="N595">
        <v>2001</v>
      </c>
    </row>
    <row r="596" spans="1:14">
      <c r="A596" t="s">
        <v>14</v>
      </c>
      <c r="B596" t="str">
        <f>"111007199900"</f>
        <v>111007199900</v>
      </c>
      <c r="C596" t="s">
        <v>742</v>
      </c>
      <c r="D596" t="s">
        <v>24</v>
      </c>
      <c r="G596" t="s">
        <v>17</v>
      </c>
      <c r="H596" t="s">
        <v>18</v>
      </c>
      <c r="I596" t="s">
        <v>199</v>
      </c>
      <c r="J596" t="s">
        <v>200</v>
      </c>
      <c r="K596" t="s">
        <v>201</v>
      </c>
      <c r="L596" t="s">
        <v>202</v>
      </c>
      <c r="M596" s="1">
        <v>36351</v>
      </c>
      <c r="N596">
        <v>1999</v>
      </c>
    </row>
    <row r="597" spans="1:14">
      <c r="A597" t="s">
        <v>14</v>
      </c>
      <c r="B597" t="str">
        <f>"112007200000"</f>
        <v>112007200000</v>
      </c>
      <c r="C597" t="s">
        <v>851</v>
      </c>
      <c r="D597" t="s">
        <v>209</v>
      </c>
      <c r="G597" t="s">
        <v>17</v>
      </c>
      <c r="H597" t="s">
        <v>18</v>
      </c>
      <c r="I597" t="s">
        <v>199</v>
      </c>
      <c r="J597" t="s">
        <v>200</v>
      </c>
      <c r="K597" t="s">
        <v>210</v>
      </c>
      <c r="L597" t="s">
        <v>22</v>
      </c>
      <c r="M597" s="1">
        <v>36727</v>
      </c>
      <c r="N597">
        <v>2000</v>
      </c>
    </row>
    <row r="598" spans="1:14">
      <c r="A598" t="s">
        <v>14</v>
      </c>
      <c r="B598" t="str">
        <f>"110204200002"</f>
        <v>110204200002</v>
      </c>
      <c r="C598" t="s">
        <v>874</v>
      </c>
      <c r="D598" t="s">
        <v>287</v>
      </c>
      <c r="G598" t="s">
        <v>17</v>
      </c>
      <c r="H598" t="s">
        <v>18</v>
      </c>
      <c r="I598" t="s">
        <v>199</v>
      </c>
      <c r="J598" t="s">
        <v>200</v>
      </c>
      <c r="K598" t="s">
        <v>241</v>
      </c>
      <c r="L598" t="s">
        <v>22</v>
      </c>
      <c r="M598" s="1">
        <v>36618</v>
      </c>
      <c r="N598">
        <v>2000</v>
      </c>
    </row>
    <row r="599" spans="1:14">
      <c r="A599" t="s">
        <v>14</v>
      </c>
      <c r="B599" t="str">
        <f>"112911200000"</f>
        <v>112911200000</v>
      </c>
      <c r="C599" t="s">
        <v>880</v>
      </c>
      <c r="D599" t="s">
        <v>89</v>
      </c>
      <c r="G599" t="s">
        <v>17</v>
      </c>
      <c r="H599" t="s">
        <v>18</v>
      </c>
      <c r="I599" t="s">
        <v>199</v>
      </c>
      <c r="J599" t="s">
        <v>200</v>
      </c>
      <c r="K599" t="s">
        <v>201</v>
      </c>
      <c r="L599" t="s">
        <v>202</v>
      </c>
      <c r="M599" s="1">
        <v>36859</v>
      </c>
      <c r="N599">
        <v>2000</v>
      </c>
    </row>
    <row r="600" spans="1:14">
      <c r="A600" t="s">
        <v>14</v>
      </c>
      <c r="B600" t="str">
        <f>"110309200102"</f>
        <v>110309200102</v>
      </c>
      <c r="C600" t="s">
        <v>921</v>
      </c>
      <c r="D600" t="s">
        <v>120</v>
      </c>
      <c r="G600" t="s">
        <v>17</v>
      </c>
      <c r="H600" t="s">
        <v>18</v>
      </c>
      <c r="I600" t="s">
        <v>199</v>
      </c>
      <c r="J600" t="s">
        <v>200</v>
      </c>
      <c r="K600" t="s">
        <v>201</v>
      </c>
      <c r="L600" t="s">
        <v>22</v>
      </c>
      <c r="M600" s="1">
        <v>37137</v>
      </c>
      <c r="N600">
        <v>2001</v>
      </c>
    </row>
    <row r="601" spans="1:14">
      <c r="A601" t="s">
        <v>14</v>
      </c>
      <c r="B601" t="str">
        <f>"111507200100"</f>
        <v>111507200100</v>
      </c>
      <c r="C601" t="s">
        <v>1031</v>
      </c>
      <c r="D601" t="s">
        <v>221</v>
      </c>
      <c r="G601" t="s">
        <v>17</v>
      </c>
      <c r="H601" t="s">
        <v>18</v>
      </c>
      <c r="I601" t="s">
        <v>199</v>
      </c>
      <c r="J601" t="s">
        <v>200</v>
      </c>
      <c r="K601" t="s">
        <v>201</v>
      </c>
      <c r="M601" s="1">
        <v>37087</v>
      </c>
      <c r="N601">
        <v>2001</v>
      </c>
    </row>
    <row r="602" spans="1:14">
      <c r="A602" t="s">
        <v>14</v>
      </c>
      <c r="B602" t="str">
        <f>"112905200101"</f>
        <v>112905200101</v>
      </c>
      <c r="C602" t="s">
        <v>1561</v>
      </c>
      <c r="D602" t="s">
        <v>50</v>
      </c>
      <c r="G602" t="s">
        <v>17</v>
      </c>
      <c r="H602" t="s">
        <v>18</v>
      </c>
      <c r="I602" t="s">
        <v>199</v>
      </c>
      <c r="J602" t="s">
        <v>200</v>
      </c>
      <c r="K602" t="s">
        <v>210</v>
      </c>
      <c r="L602" t="s">
        <v>63</v>
      </c>
      <c r="M602" s="1">
        <v>37040</v>
      </c>
      <c r="N602">
        <v>2001</v>
      </c>
    </row>
    <row r="603" spans="1:14">
      <c r="A603" t="s">
        <v>14</v>
      </c>
      <c r="B603" t="str">
        <f>"112610200101"</f>
        <v>112610200101</v>
      </c>
      <c r="C603" t="s">
        <v>1754</v>
      </c>
      <c r="D603" t="s">
        <v>221</v>
      </c>
      <c r="G603" t="s">
        <v>17</v>
      </c>
      <c r="H603" t="s">
        <v>18</v>
      </c>
      <c r="I603" t="s">
        <v>199</v>
      </c>
      <c r="J603" t="s">
        <v>200</v>
      </c>
      <c r="K603" t="s">
        <v>201</v>
      </c>
      <c r="L603" t="s">
        <v>63</v>
      </c>
      <c r="M603" s="1">
        <v>37190</v>
      </c>
      <c r="N603">
        <v>2001</v>
      </c>
    </row>
    <row r="604" spans="1:14">
      <c r="A604" t="s">
        <v>14</v>
      </c>
      <c r="B604" t="str">
        <f>"110905200100"</f>
        <v>110905200100</v>
      </c>
      <c r="C604" t="s">
        <v>1911</v>
      </c>
      <c r="D604" t="s">
        <v>298</v>
      </c>
      <c r="G604" t="s">
        <v>17</v>
      </c>
      <c r="H604" t="s">
        <v>18</v>
      </c>
      <c r="I604" t="s">
        <v>199</v>
      </c>
      <c r="J604" t="s">
        <v>200</v>
      </c>
      <c r="K604" t="s">
        <v>201</v>
      </c>
      <c r="L604" t="s">
        <v>22</v>
      </c>
      <c r="M604" s="1">
        <v>37020</v>
      </c>
      <c r="N604">
        <v>2001</v>
      </c>
    </row>
    <row r="605" spans="1:14">
      <c r="A605" t="s">
        <v>14</v>
      </c>
      <c r="B605" t="str">
        <f>"112507200102"</f>
        <v>112507200102</v>
      </c>
      <c r="C605" t="s">
        <v>1986</v>
      </c>
      <c r="D605" t="s">
        <v>382</v>
      </c>
      <c r="G605" t="s">
        <v>17</v>
      </c>
      <c r="H605" t="s">
        <v>18</v>
      </c>
      <c r="I605" t="s">
        <v>199</v>
      </c>
      <c r="J605" t="s">
        <v>200</v>
      </c>
      <c r="K605" t="s">
        <v>201</v>
      </c>
      <c r="M605" s="1">
        <v>37097</v>
      </c>
      <c r="N605">
        <v>2001</v>
      </c>
    </row>
    <row r="606" spans="1:14">
      <c r="A606" t="s">
        <v>14</v>
      </c>
      <c r="B606" t="str">
        <f>"112608200000"</f>
        <v>112608200000</v>
      </c>
      <c r="C606" t="s">
        <v>2041</v>
      </c>
      <c r="D606" t="s">
        <v>129</v>
      </c>
      <c r="G606" t="s">
        <v>17</v>
      </c>
      <c r="H606" t="s">
        <v>18</v>
      </c>
      <c r="I606" t="s">
        <v>199</v>
      </c>
      <c r="J606" t="s">
        <v>200</v>
      </c>
      <c r="K606" t="s">
        <v>201</v>
      </c>
      <c r="L606" t="s">
        <v>63</v>
      </c>
      <c r="M606" s="1">
        <v>36764</v>
      </c>
      <c r="N606">
        <v>2000</v>
      </c>
    </row>
    <row r="607" spans="1:14">
      <c r="A607" t="s">
        <v>14</v>
      </c>
      <c r="B607" t="str">
        <f>"111008200103"</f>
        <v>111008200103</v>
      </c>
      <c r="C607" t="s">
        <v>2052</v>
      </c>
      <c r="D607" t="s">
        <v>181</v>
      </c>
      <c r="G607" t="s">
        <v>17</v>
      </c>
      <c r="H607" t="s">
        <v>18</v>
      </c>
      <c r="I607" t="s">
        <v>199</v>
      </c>
      <c r="J607" t="s">
        <v>200</v>
      </c>
      <c r="K607" t="s">
        <v>210</v>
      </c>
      <c r="M607" s="1">
        <v>37113</v>
      </c>
      <c r="N607">
        <v>2001</v>
      </c>
    </row>
    <row r="608" spans="1:14">
      <c r="A608" t="s">
        <v>14</v>
      </c>
      <c r="B608" t="str">
        <f>"113004200000"</f>
        <v>113004200000</v>
      </c>
      <c r="C608" t="s">
        <v>2169</v>
      </c>
      <c r="D608" t="s">
        <v>129</v>
      </c>
      <c r="G608" t="s">
        <v>17</v>
      </c>
      <c r="H608" t="s">
        <v>18</v>
      </c>
      <c r="I608" t="s">
        <v>199</v>
      </c>
      <c r="J608" t="s">
        <v>200</v>
      </c>
      <c r="K608" t="s">
        <v>210</v>
      </c>
      <c r="L608" t="s">
        <v>63</v>
      </c>
      <c r="M608" s="1">
        <v>36646</v>
      </c>
      <c r="N608">
        <v>2000</v>
      </c>
    </row>
    <row r="609" spans="1:14">
      <c r="A609" t="s">
        <v>14</v>
      </c>
      <c r="B609" t="str">
        <f>"110707200101"</f>
        <v>110707200101</v>
      </c>
      <c r="C609" t="s">
        <v>2199</v>
      </c>
      <c r="D609" t="s">
        <v>24</v>
      </c>
      <c r="G609" t="s">
        <v>17</v>
      </c>
      <c r="H609" t="s">
        <v>18</v>
      </c>
      <c r="I609" t="s">
        <v>199</v>
      </c>
      <c r="J609" t="s">
        <v>200</v>
      </c>
      <c r="K609" t="s">
        <v>213</v>
      </c>
      <c r="L609" t="s">
        <v>22</v>
      </c>
      <c r="M609" s="1">
        <v>37079</v>
      </c>
      <c r="N609">
        <v>2001</v>
      </c>
    </row>
    <row r="610" spans="1:14">
      <c r="A610" t="s">
        <v>14</v>
      </c>
      <c r="B610" t="str">
        <f>"112401200100"</f>
        <v>112401200100</v>
      </c>
      <c r="C610" t="s">
        <v>2315</v>
      </c>
      <c r="D610" t="s">
        <v>387</v>
      </c>
      <c r="G610" t="s">
        <v>17</v>
      </c>
      <c r="H610" t="s">
        <v>18</v>
      </c>
      <c r="I610" t="s">
        <v>199</v>
      </c>
      <c r="J610" t="s">
        <v>200</v>
      </c>
      <c r="K610" t="s">
        <v>241</v>
      </c>
      <c r="M610" s="1">
        <v>36915</v>
      </c>
      <c r="N610">
        <v>2001</v>
      </c>
    </row>
    <row r="611" spans="1:14">
      <c r="A611" t="s">
        <v>14</v>
      </c>
      <c r="B611" t="str">
        <f>"112210199900"</f>
        <v>112210199900</v>
      </c>
      <c r="C611" t="s">
        <v>2410</v>
      </c>
      <c r="D611" t="s">
        <v>155</v>
      </c>
      <c r="G611" t="s">
        <v>17</v>
      </c>
      <c r="H611" t="s">
        <v>18</v>
      </c>
      <c r="I611" t="s">
        <v>199</v>
      </c>
      <c r="J611" t="s">
        <v>200</v>
      </c>
      <c r="K611" t="s">
        <v>201</v>
      </c>
      <c r="L611" t="s">
        <v>48</v>
      </c>
      <c r="M611" s="1">
        <v>36455</v>
      </c>
      <c r="N611">
        <v>1999</v>
      </c>
    </row>
    <row r="612" spans="1:14">
      <c r="A612" t="s">
        <v>14</v>
      </c>
      <c r="B612" t="str">
        <f>"112812200102"</f>
        <v>112812200102</v>
      </c>
      <c r="C612" t="s">
        <v>2638</v>
      </c>
      <c r="D612" t="s">
        <v>175</v>
      </c>
      <c r="G612" t="s">
        <v>17</v>
      </c>
      <c r="H612" t="s">
        <v>18</v>
      </c>
      <c r="I612" t="s">
        <v>199</v>
      </c>
      <c r="J612" t="s">
        <v>200</v>
      </c>
      <c r="K612" t="s">
        <v>201</v>
      </c>
      <c r="L612" t="s">
        <v>202</v>
      </c>
      <c r="M612" s="1">
        <v>37253</v>
      </c>
      <c r="N612">
        <v>2001</v>
      </c>
    </row>
    <row r="613" spans="1:14">
      <c r="A613" t="s">
        <v>14</v>
      </c>
      <c r="B613" t="str">
        <f>"112602199900"</f>
        <v>112602199900</v>
      </c>
      <c r="C613" t="s">
        <v>2662</v>
      </c>
      <c r="D613" t="s">
        <v>98</v>
      </c>
      <c r="G613" t="s">
        <v>17</v>
      </c>
      <c r="H613" t="s">
        <v>18</v>
      </c>
      <c r="I613" t="s">
        <v>199</v>
      </c>
      <c r="J613" t="s">
        <v>200</v>
      </c>
      <c r="K613" t="s">
        <v>210</v>
      </c>
      <c r="L613" t="s">
        <v>63</v>
      </c>
      <c r="M613" s="1">
        <v>36217</v>
      </c>
      <c r="N613">
        <v>1999</v>
      </c>
    </row>
    <row r="614" spans="1:14">
      <c r="A614" t="s">
        <v>14</v>
      </c>
      <c r="B614" t="str">
        <f>"111805200102"</f>
        <v>111805200102</v>
      </c>
      <c r="C614" t="s">
        <v>2937</v>
      </c>
      <c r="D614" t="s">
        <v>259</v>
      </c>
      <c r="G614" t="s">
        <v>17</v>
      </c>
      <c r="H614" t="s">
        <v>18</v>
      </c>
      <c r="I614" t="s">
        <v>199</v>
      </c>
      <c r="J614" t="s">
        <v>200</v>
      </c>
      <c r="K614" t="s">
        <v>201</v>
      </c>
      <c r="M614" s="1">
        <v>37029</v>
      </c>
      <c r="N614">
        <v>2001</v>
      </c>
    </row>
    <row r="615" spans="1:14">
      <c r="A615" t="s">
        <v>14</v>
      </c>
      <c r="B615" t="str">
        <f>"112607200400"</f>
        <v>112607200400</v>
      </c>
      <c r="C615" t="s">
        <v>211</v>
      </c>
      <c r="D615" t="s">
        <v>212</v>
      </c>
      <c r="G615" t="s">
        <v>17</v>
      </c>
      <c r="H615" t="s">
        <v>39</v>
      </c>
      <c r="I615" t="s">
        <v>199</v>
      </c>
      <c r="J615" t="s">
        <v>200</v>
      </c>
      <c r="K615" t="s">
        <v>213</v>
      </c>
      <c r="M615" s="1">
        <v>38194</v>
      </c>
      <c r="N615">
        <v>2004</v>
      </c>
    </row>
    <row r="616" spans="1:14">
      <c r="A616" t="s">
        <v>14</v>
      </c>
      <c r="B616" t="str">
        <f>"112204200400"</f>
        <v>112204200400</v>
      </c>
      <c r="C616" t="s">
        <v>312</v>
      </c>
      <c r="D616" t="s">
        <v>155</v>
      </c>
      <c r="G616" t="s">
        <v>17</v>
      </c>
      <c r="H616" t="s">
        <v>39</v>
      </c>
      <c r="I616" t="s">
        <v>199</v>
      </c>
      <c r="J616" t="s">
        <v>200</v>
      </c>
      <c r="K616" t="s">
        <v>201</v>
      </c>
      <c r="M616" s="1">
        <v>38099</v>
      </c>
      <c r="N616">
        <v>2004</v>
      </c>
    </row>
    <row r="617" spans="1:14">
      <c r="A617" t="s">
        <v>14</v>
      </c>
      <c r="B617" t="str">
        <f>"110907200400"</f>
        <v>110907200400</v>
      </c>
      <c r="C617" t="s">
        <v>459</v>
      </c>
      <c r="D617" t="s">
        <v>95</v>
      </c>
      <c r="G617" t="s">
        <v>17</v>
      </c>
      <c r="H617" t="s">
        <v>39</v>
      </c>
      <c r="I617" t="s">
        <v>199</v>
      </c>
      <c r="J617" t="s">
        <v>200</v>
      </c>
      <c r="K617" t="s">
        <v>201</v>
      </c>
      <c r="M617" s="1">
        <v>38177</v>
      </c>
      <c r="N617">
        <v>2004</v>
      </c>
    </row>
    <row r="618" spans="1:14">
      <c r="A618" t="s">
        <v>14</v>
      </c>
      <c r="B618" t="str">
        <f>"110307200400"</f>
        <v>110307200400</v>
      </c>
      <c r="C618" t="s">
        <v>927</v>
      </c>
      <c r="D618" t="s">
        <v>221</v>
      </c>
      <c r="G618" t="s">
        <v>17</v>
      </c>
      <c r="H618" t="s">
        <v>39</v>
      </c>
      <c r="I618" t="s">
        <v>199</v>
      </c>
      <c r="J618" t="s">
        <v>200</v>
      </c>
      <c r="K618" t="s">
        <v>201</v>
      </c>
      <c r="L618" t="s">
        <v>22</v>
      </c>
      <c r="M618" s="1">
        <v>38171</v>
      </c>
      <c r="N618">
        <v>2004</v>
      </c>
    </row>
    <row r="619" spans="1:14">
      <c r="A619" t="s">
        <v>14</v>
      </c>
      <c r="B619" t="str">
        <f>"110311200401"</f>
        <v>110311200401</v>
      </c>
      <c r="C619" t="s">
        <v>933</v>
      </c>
      <c r="D619" t="s">
        <v>392</v>
      </c>
      <c r="G619" t="s">
        <v>17</v>
      </c>
      <c r="H619" t="s">
        <v>39</v>
      </c>
      <c r="I619" t="s">
        <v>199</v>
      </c>
      <c r="J619" t="s">
        <v>200</v>
      </c>
      <c r="K619" t="s">
        <v>201</v>
      </c>
      <c r="M619" s="1">
        <v>38294</v>
      </c>
      <c r="N619">
        <v>2004</v>
      </c>
    </row>
    <row r="620" spans="1:14">
      <c r="A620" t="s">
        <v>14</v>
      </c>
      <c r="B620" t="str">
        <f>"112702200401"</f>
        <v>112702200401</v>
      </c>
      <c r="C620" t="s">
        <v>1027</v>
      </c>
      <c r="D620" t="s">
        <v>221</v>
      </c>
      <c r="G620" t="s">
        <v>17</v>
      </c>
      <c r="H620" t="s">
        <v>39</v>
      </c>
      <c r="I620" t="s">
        <v>199</v>
      </c>
      <c r="J620" t="s">
        <v>200</v>
      </c>
      <c r="K620" t="s">
        <v>201</v>
      </c>
      <c r="L620" t="s">
        <v>22</v>
      </c>
      <c r="M620" s="1">
        <v>38044</v>
      </c>
      <c r="N620">
        <v>2004</v>
      </c>
    </row>
    <row r="621" spans="1:14">
      <c r="A621" t="s">
        <v>14</v>
      </c>
      <c r="B621" t="str">
        <f>"112409200400"</f>
        <v>112409200400</v>
      </c>
      <c r="C621" t="s">
        <v>1114</v>
      </c>
      <c r="D621" t="s">
        <v>344</v>
      </c>
      <c r="G621" t="s">
        <v>17</v>
      </c>
      <c r="H621" t="s">
        <v>39</v>
      </c>
      <c r="I621" t="s">
        <v>199</v>
      </c>
      <c r="J621" t="s">
        <v>200</v>
      </c>
      <c r="K621" t="s">
        <v>201</v>
      </c>
      <c r="M621" s="1">
        <v>38254</v>
      </c>
      <c r="N621">
        <v>2004</v>
      </c>
    </row>
    <row r="622" spans="1:14">
      <c r="A622" t="s">
        <v>14</v>
      </c>
      <c r="B622" t="str">
        <f>"112511200400"</f>
        <v>112511200400</v>
      </c>
      <c r="C622" t="s">
        <v>1137</v>
      </c>
      <c r="D622" t="s">
        <v>617</v>
      </c>
      <c r="G622" t="s">
        <v>17</v>
      </c>
      <c r="H622" t="s">
        <v>39</v>
      </c>
      <c r="I622" t="s">
        <v>199</v>
      </c>
      <c r="J622" t="s">
        <v>200</v>
      </c>
      <c r="K622" t="s">
        <v>201</v>
      </c>
      <c r="L622" t="s">
        <v>22</v>
      </c>
      <c r="M622" s="1">
        <v>38316</v>
      </c>
      <c r="N622">
        <v>2004</v>
      </c>
    </row>
    <row r="623" spans="1:14">
      <c r="A623" t="s">
        <v>14</v>
      </c>
      <c r="B623" t="str">
        <f>"112302200402"</f>
        <v>112302200402</v>
      </c>
      <c r="C623" t="s">
        <v>1137</v>
      </c>
      <c r="D623" t="s">
        <v>89</v>
      </c>
      <c r="G623" t="s">
        <v>17</v>
      </c>
      <c r="H623" t="s">
        <v>39</v>
      </c>
      <c r="I623" t="s">
        <v>199</v>
      </c>
      <c r="J623" t="s">
        <v>200</v>
      </c>
      <c r="K623" t="s">
        <v>201</v>
      </c>
      <c r="L623" t="s">
        <v>22</v>
      </c>
      <c r="M623" s="1">
        <v>38040</v>
      </c>
      <c r="N623">
        <v>2004</v>
      </c>
    </row>
    <row r="624" spans="1:14">
      <c r="A624" t="s">
        <v>14</v>
      </c>
      <c r="B624" t="str">
        <f>"112606200400"</f>
        <v>112606200400</v>
      </c>
      <c r="C624" t="s">
        <v>1190</v>
      </c>
      <c r="D624" t="s">
        <v>373</v>
      </c>
      <c r="G624" t="s">
        <v>17</v>
      </c>
      <c r="H624" t="s">
        <v>39</v>
      </c>
      <c r="I624" t="s">
        <v>199</v>
      </c>
      <c r="J624" t="s">
        <v>200</v>
      </c>
      <c r="K624" t="s">
        <v>201</v>
      </c>
      <c r="L624" t="s">
        <v>22</v>
      </c>
      <c r="M624" s="1">
        <v>38164</v>
      </c>
      <c r="N624">
        <v>2004</v>
      </c>
    </row>
    <row r="625" spans="1:14">
      <c r="A625" t="s">
        <v>14</v>
      </c>
      <c r="B625" t="str">
        <f>"111410200400"</f>
        <v>111410200400</v>
      </c>
      <c r="C625" t="s">
        <v>1272</v>
      </c>
      <c r="D625" t="s">
        <v>209</v>
      </c>
      <c r="G625" t="s">
        <v>17</v>
      </c>
      <c r="H625" t="s">
        <v>39</v>
      </c>
      <c r="I625" t="s">
        <v>199</v>
      </c>
      <c r="J625" t="s">
        <v>200</v>
      </c>
      <c r="K625" t="s">
        <v>201</v>
      </c>
      <c r="L625" t="s">
        <v>22</v>
      </c>
      <c r="M625" s="1">
        <v>38274</v>
      </c>
      <c r="N625">
        <v>2004</v>
      </c>
    </row>
    <row r="626" spans="1:14">
      <c r="A626" t="s">
        <v>14</v>
      </c>
      <c r="B626" t="str">
        <f>"112909200400"</f>
        <v>112909200400</v>
      </c>
      <c r="C626" t="s">
        <v>1720</v>
      </c>
      <c r="D626" t="s">
        <v>89</v>
      </c>
      <c r="G626" t="s">
        <v>17</v>
      </c>
      <c r="H626" t="s">
        <v>39</v>
      </c>
      <c r="I626" t="s">
        <v>199</v>
      </c>
      <c r="J626" t="s">
        <v>200</v>
      </c>
      <c r="K626" t="s">
        <v>201</v>
      </c>
      <c r="M626" s="1">
        <v>38259</v>
      </c>
      <c r="N626">
        <v>2004</v>
      </c>
    </row>
    <row r="627" spans="1:14">
      <c r="A627" t="s">
        <v>14</v>
      </c>
      <c r="B627" t="str">
        <f>"110310200400"</f>
        <v>110310200400</v>
      </c>
      <c r="C627" t="s">
        <v>1899</v>
      </c>
      <c r="D627" t="s">
        <v>579</v>
      </c>
      <c r="G627" t="s">
        <v>17</v>
      </c>
      <c r="H627" t="s">
        <v>39</v>
      </c>
      <c r="I627" t="s">
        <v>199</v>
      </c>
      <c r="J627" t="s">
        <v>200</v>
      </c>
      <c r="K627" t="s">
        <v>201</v>
      </c>
      <c r="L627" t="s">
        <v>22</v>
      </c>
      <c r="M627" s="1">
        <v>38263</v>
      </c>
      <c r="N627">
        <v>2004</v>
      </c>
    </row>
    <row r="628" spans="1:14">
      <c r="A628" t="s">
        <v>14</v>
      </c>
      <c r="B628" t="str">
        <f>"111606200401"</f>
        <v>111606200401</v>
      </c>
      <c r="C628" t="s">
        <v>1987</v>
      </c>
      <c r="D628" t="s">
        <v>50</v>
      </c>
      <c r="G628" t="s">
        <v>17</v>
      </c>
      <c r="H628" t="s">
        <v>39</v>
      </c>
      <c r="I628" t="s">
        <v>199</v>
      </c>
      <c r="J628" t="s">
        <v>200</v>
      </c>
      <c r="K628" t="s">
        <v>213</v>
      </c>
      <c r="L628" t="s">
        <v>22</v>
      </c>
      <c r="M628" s="1">
        <v>38154</v>
      </c>
      <c r="N628">
        <v>2004</v>
      </c>
    </row>
    <row r="629" spans="1:14">
      <c r="A629" t="s">
        <v>14</v>
      </c>
      <c r="B629" t="str">
        <f>"111803200400"</f>
        <v>111803200400</v>
      </c>
      <c r="C629" t="s">
        <v>2058</v>
      </c>
      <c r="D629" t="s">
        <v>782</v>
      </c>
      <c r="G629" t="s">
        <v>17</v>
      </c>
      <c r="H629" t="s">
        <v>39</v>
      </c>
      <c r="I629" t="s">
        <v>199</v>
      </c>
      <c r="J629" t="s">
        <v>200</v>
      </c>
      <c r="K629" t="s">
        <v>201</v>
      </c>
      <c r="L629" t="s">
        <v>22</v>
      </c>
      <c r="M629" s="1">
        <v>38064</v>
      </c>
      <c r="N629">
        <v>2004</v>
      </c>
    </row>
    <row r="630" spans="1:14">
      <c r="A630" t="s">
        <v>14</v>
      </c>
      <c r="B630" t="str">
        <f>"110712200401"</f>
        <v>110712200401</v>
      </c>
      <c r="C630" t="s">
        <v>2072</v>
      </c>
      <c r="D630" t="s">
        <v>2073</v>
      </c>
      <c r="G630" t="s">
        <v>17</v>
      </c>
      <c r="H630" t="s">
        <v>39</v>
      </c>
      <c r="I630" t="s">
        <v>199</v>
      </c>
      <c r="J630" t="s">
        <v>200</v>
      </c>
      <c r="K630" t="s">
        <v>201</v>
      </c>
      <c r="L630" t="s">
        <v>22</v>
      </c>
      <c r="M630" s="1">
        <v>38328</v>
      </c>
      <c r="N630">
        <v>2004</v>
      </c>
    </row>
    <row r="631" spans="1:14">
      <c r="A631" t="s">
        <v>14</v>
      </c>
      <c r="B631" t="str">
        <f>"111411200401"</f>
        <v>111411200401</v>
      </c>
      <c r="C631" t="s">
        <v>2139</v>
      </c>
      <c r="D631" t="s">
        <v>129</v>
      </c>
      <c r="G631" t="s">
        <v>17</v>
      </c>
      <c r="H631" t="s">
        <v>39</v>
      </c>
      <c r="I631" t="s">
        <v>199</v>
      </c>
      <c r="J631" t="s">
        <v>200</v>
      </c>
      <c r="K631" t="s">
        <v>213</v>
      </c>
      <c r="M631" s="1">
        <v>38305</v>
      </c>
      <c r="N631">
        <v>2004</v>
      </c>
    </row>
    <row r="632" spans="1:14">
      <c r="A632" t="s">
        <v>14</v>
      </c>
      <c r="B632" t="str">
        <f>"110807200400"</f>
        <v>110807200400</v>
      </c>
      <c r="C632" t="s">
        <v>2177</v>
      </c>
      <c r="D632" t="s">
        <v>209</v>
      </c>
      <c r="G632" t="s">
        <v>17</v>
      </c>
      <c r="H632" t="s">
        <v>39</v>
      </c>
      <c r="I632" t="s">
        <v>199</v>
      </c>
      <c r="J632" t="s">
        <v>200</v>
      </c>
      <c r="K632" t="s">
        <v>213</v>
      </c>
      <c r="L632" t="s">
        <v>22</v>
      </c>
      <c r="M632" s="1">
        <v>38176</v>
      </c>
      <c r="N632">
        <v>2004</v>
      </c>
    </row>
    <row r="633" spans="1:14">
      <c r="A633" t="s">
        <v>14</v>
      </c>
      <c r="B633" t="str">
        <f>"111803200401"</f>
        <v>111803200401</v>
      </c>
      <c r="C633" t="s">
        <v>2212</v>
      </c>
      <c r="D633" t="s">
        <v>16</v>
      </c>
      <c r="G633" t="s">
        <v>17</v>
      </c>
      <c r="H633" t="s">
        <v>39</v>
      </c>
      <c r="I633" t="s">
        <v>199</v>
      </c>
      <c r="J633" t="s">
        <v>200</v>
      </c>
      <c r="K633" t="s">
        <v>201</v>
      </c>
      <c r="M633" s="1">
        <v>38064</v>
      </c>
      <c r="N633">
        <v>2004</v>
      </c>
    </row>
    <row r="634" spans="1:14">
      <c r="A634" t="s">
        <v>14</v>
      </c>
      <c r="B634" t="str">
        <f>"112906200400"</f>
        <v>112906200400</v>
      </c>
      <c r="C634" t="s">
        <v>2220</v>
      </c>
      <c r="D634" t="s">
        <v>2221</v>
      </c>
      <c r="G634" t="s">
        <v>17</v>
      </c>
      <c r="H634" t="s">
        <v>39</v>
      </c>
      <c r="I634" t="s">
        <v>199</v>
      </c>
      <c r="J634" t="s">
        <v>200</v>
      </c>
      <c r="K634" t="s">
        <v>201</v>
      </c>
      <c r="L634" t="s">
        <v>22</v>
      </c>
      <c r="M634" s="1">
        <v>38167</v>
      </c>
      <c r="N634">
        <v>2004</v>
      </c>
    </row>
    <row r="635" spans="1:14">
      <c r="A635" t="s">
        <v>14</v>
      </c>
      <c r="B635" t="str">
        <f>"111612200400"</f>
        <v>111612200400</v>
      </c>
      <c r="C635" t="s">
        <v>2507</v>
      </c>
      <c r="D635" t="s">
        <v>2508</v>
      </c>
      <c r="G635" t="s">
        <v>17</v>
      </c>
      <c r="H635" t="s">
        <v>39</v>
      </c>
      <c r="I635" t="s">
        <v>199</v>
      </c>
      <c r="J635" t="s">
        <v>200</v>
      </c>
      <c r="K635" t="s">
        <v>201</v>
      </c>
      <c r="L635" t="s">
        <v>22</v>
      </c>
      <c r="M635" s="1">
        <v>38337</v>
      </c>
      <c r="N635">
        <v>2004</v>
      </c>
    </row>
    <row r="636" spans="1:14">
      <c r="A636" t="s">
        <v>14</v>
      </c>
      <c r="B636" t="str">
        <f>"112303200400"</f>
        <v>112303200400</v>
      </c>
      <c r="C636" t="s">
        <v>2529</v>
      </c>
      <c r="D636" t="s">
        <v>89</v>
      </c>
      <c r="G636" t="s">
        <v>17</v>
      </c>
      <c r="H636" t="s">
        <v>39</v>
      </c>
      <c r="I636" t="s">
        <v>199</v>
      </c>
      <c r="J636" t="s">
        <v>200</v>
      </c>
      <c r="K636" t="s">
        <v>213</v>
      </c>
      <c r="L636" t="s">
        <v>22</v>
      </c>
      <c r="M636" s="1">
        <v>38069</v>
      </c>
      <c r="N636">
        <v>2004</v>
      </c>
    </row>
    <row r="637" spans="1:14">
      <c r="A637" t="s">
        <v>14</v>
      </c>
      <c r="B637" t="str">
        <f>"112311200400"</f>
        <v>112311200400</v>
      </c>
      <c r="C637" t="s">
        <v>2822</v>
      </c>
      <c r="D637" t="s">
        <v>259</v>
      </c>
      <c r="G637" t="s">
        <v>17</v>
      </c>
      <c r="H637" t="s">
        <v>39</v>
      </c>
      <c r="I637" t="s">
        <v>199</v>
      </c>
      <c r="J637" t="s">
        <v>200</v>
      </c>
      <c r="K637" t="s">
        <v>201</v>
      </c>
      <c r="L637" t="s">
        <v>22</v>
      </c>
      <c r="M637" s="1">
        <v>38314</v>
      </c>
      <c r="N637">
        <v>2004</v>
      </c>
    </row>
    <row r="638" spans="1:14">
      <c r="A638" t="s">
        <v>14</v>
      </c>
      <c r="B638" t="str">
        <f>"110403200401"</f>
        <v>110403200401</v>
      </c>
      <c r="C638" t="s">
        <v>2894</v>
      </c>
      <c r="D638" t="s">
        <v>344</v>
      </c>
      <c r="G638" t="s">
        <v>17</v>
      </c>
      <c r="H638" t="s">
        <v>39</v>
      </c>
      <c r="I638" t="s">
        <v>199</v>
      </c>
      <c r="J638" t="s">
        <v>200</v>
      </c>
      <c r="K638" t="s">
        <v>213</v>
      </c>
      <c r="L638" t="s">
        <v>63</v>
      </c>
      <c r="M638" s="1">
        <v>38050</v>
      </c>
      <c r="N638">
        <v>2004</v>
      </c>
    </row>
    <row r="639" spans="1:14">
      <c r="A639" t="s">
        <v>14</v>
      </c>
      <c r="B639" t="str">
        <f>"112512200301"</f>
        <v>112512200301</v>
      </c>
      <c r="C639" t="s">
        <v>286</v>
      </c>
      <c r="D639" t="s">
        <v>287</v>
      </c>
      <c r="G639" t="s">
        <v>17</v>
      </c>
      <c r="H639" t="s">
        <v>51</v>
      </c>
      <c r="I639" t="s">
        <v>199</v>
      </c>
      <c r="J639" t="s">
        <v>200</v>
      </c>
      <c r="K639" t="s">
        <v>201</v>
      </c>
      <c r="M639" s="1">
        <v>37980</v>
      </c>
      <c r="N639">
        <v>2003</v>
      </c>
    </row>
    <row r="640" spans="1:14">
      <c r="A640" t="s">
        <v>14</v>
      </c>
      <c r="B640" t="str">
        <f>"111801200201"</f>
        <v>111801200201</v>
      </c>
      <c r="C640" t="s">
        <v>297</v>
      </c>
      <c r="D640" t="s">
        <v>298</v>
      </c>
      <c r="G640" t="s">
        <v>17</v>
      </c>
      <c r="H640" t="s">
        <v>51</v>
      </c>
      <c r="I640" t="s">
        <v>199</v>
      </c>
      <c r="J640" t="s">
        <v>200</v>
      </c>
      <c r="K640" t="s">
        <v>201</v>
      </c>
      <c r="L640" t="s">
        <v>202</v>
      </c>
      <c r="M640" s="1">
        <v>37274</v>
      </c>
      <c r="N640">
        <v>2002</v>
      </c>
    </row>
    <row r="641" spans="1:14">
      <c r="A641" t="s">
        <v>14</v>
      </c>
      <c r="B641" t="str">
        <f>"111211200200"</f>
        <v>111211200200</v>
      </c>
      <c r="C641" t="s">
        <v>303</v>
      </c>
      <c r="D641" t="s">
        <v>115</v>
      </c>
      <c r="G641" t="s">
        <v>17</v>
      </c>
      <c r="H641" t="s">
        <v>51</v>
      </c>
      <c r="I641" t="s">
        <v>199</v>
      </c>
      <c r="J641" t="s">
        <v>200</v>
      </c>
      <c r="K641" t="s">
        <v>241</v>
      </c>
      <c r="L641" t="s">
        <v>22</v>
      </c>
      <c r="M641" s="1">
        <v>37572</v>
      </c>
      <c r="N641">
        <v>2002</v>
      </c>
    </row>
    <row r="642" spans="1:14">
      <c r="A642" t="s">
        <v>14</v>
      </c>
      <c r="B642" t="str">
        <f>"111812200301"</f>
        <v>111812200301</v>
      </c>
      <c r="C642" t="s">
        <v>383</v>
      </c>
      <c r="D642" t="s">
        <v>113</v>
      </c>
      <c r="G642" t="s">
        <v>17</v>
      </c>
      <c r="H642" t="s">
        <v>51</v>
      </c>
      <c r="I642" t="s">
        <v>199</v>
      </c>
      <c r="J642" t="s">
        <v>200</v>
      </c>
      <c r="K642" t="s">
        <v>201</v>
      </c>
      <c r="M642" s="1">
        <v>37973</v>
      </c>
      <c r="N642">
        <v>2003</v>
      </c>
    </row>
    <row r="643" spans="1:14">
      <c r="A643" t="s">
        <v>14</v>
      </c>
      <c r="B643" t="str">
        <f>"110308200201"</f>
        <v>110308200201</v>
      </c>
      <c r="C643" t="s">
        <v>548</v>
      </c>
      <c r="D643" t="s">
        <v>344</v>
      </c>
      <c r="G643" t="s">
        <v>17</v>
      </c>
      <c r="H643" t="s">
        <v>51</v>
      </c>
      <c r="I643" t="s">
        <v>199</v>
      </c>
      <c r="J643" t="s">
        <v>200</v>
      </c>
      <c r="K643" t="s">
        <v>201</v>
      </c>
      <c r="M643" s="1">
        <v>37471</v>
      </c>
      <c r="N643">
        <v>2002</v>
      </c>
    </row>
    <row r="644" spans="1:14">
      <c r="A644" t="s">
        <v>14</v>
      </c>
      <c r="B644" t="str">
        <f>"110204200201"</f>
        <v>110204200201</v>
      </c>
      <c r="C644" t="s">
        <v>574</v>
      </c>
      <c r="D644" t="s">
        <v>16</v>
      </c>
      <c r="G644" t="s">
        <v>17</v>
      </c>
      <c r="H644" t="s">
        <v>51</v>
      </c>
      <c r="I644" t="s">
        <v>199</v>
      </c>
      <c r="J644" t="s">
        <v>200</v>
      </c>
      <c r="K644" t="s">
        <v>213</v>
      </c>
      <c r="L644" t="s">
        <v>22</v>
      </c>
      <c r="M644" s="1">
        <v>37348</v>
      </c>
      <c r="N644">
        <v>2002</v>
      </c>
    </row>
    <row r="645" spans="1:14">
      <c r="A645" t="s">
        <v>14</v>
      </c>
      <c r="B645" t="str">
        <f>"110204200202"</f>
        <v>110204200202</v>
      </c>
      <c r="C645" t="s">
        <v>574</v>
      </c>
      <c r="D645" t="s">
        <v>70</v>
      </c>
      <c r="G645" t="s">
        <v>17</v>
      </c>
      <c r="H645" t="s">
        <v>51</v>
      </c>
      <c r="I645" t="s">
        <v>199</v>
      </c>
      <c r="J645" t="s">
        <v>200</v>
      </c>
      <c r="K645" t="s">
        <v>213</v>
      </c>
      <c r="L645" t="s">
        <v>22</v>
      </c>
      <c r="M645" s="1">
        <v>37348</v>
      </c>
      <c r="N645">
        <v>2002</v>
      </c>
    </row>
    <row r="646" spans="1:14">
      <c r="A646" t="s">
        <v>14</v>
      </c>
      <c r="B646" t="str">
        <f>"110705200200"</f>
        <v>110705200200</v>
      </c>
      <c r="C646" t="s">
        <v>713</v>
      </c>
      <c r="D646" t="s">
        <v>70</v>
      </c>
      <c r="G646" t="s">
        <v>17</v>
      </c>
      <c r="H646" t="s">
        <v>51</v>
      </c>
      <c r="I646" t="s">
        <v>199</v>
      </c>
      <c r="J646" t="s">
        <v>200</v>
      </c>
      <c r="K646" t="s">
        <v>241</v>
      </c>
      <c r="M646" s="1">
        <v>37383</v>
      </c>
      <c r="N646">
        <v>2002</v>
      </c>
    </row>
    <row r="647" spans="1:14">
      <c r="A647" t="s">
        <v>14</v>
      </c>
      <c r="B647" t="str">
        <f>"111302200300"</f>
        <v>111302200300</v>
      </c>
      <c r="C647" t="s">
        <v>741</v>
      </c>
      <c r="D647" t="s">
        <v>16</v>
      </c>
      <c r="G647" t="s">
        <v>17</v>
      </c>
      <c r="H647" t="s">
        <v>51</v>
      </c>
      <c r="I647" t="s">
        <v>199</v>
      </c>
      <c r="J647" t="s">
        <v>200</v>
      </c>
      <c r="K647" t="s">
        <v>201</v>
      </c>
      <c r="M647" s="1">
        <v>37665</v>
      </c>
      <c r="N647">
        <v>2003</v>
      </c>
    </row>
    <row r="648" spans="1:14">
      <c r="A648" t="s">
        <v>14</v>
      </c>
      <c r="B648" t="str">
        <f>"111209200201"</f>
        <v>111209200201</v>
      </c>
      <c r="C648" t="s">
        <v>742</v>
      </c>
      <c r="D648" t="s">
        <v>100</v>
      </c>
      <c r="G648" t="s">
        <v>17</v>
      </c>
      <c r="H648" t="s">
        <v>51</v>
      </c>
      <c r="I648" t="s">
        <v>199</v>
      </c>
      <c r="J648" t="s">
        <v>200</v>
      </c>
      <c r="K648" t="s">
        <v>201</v>
      </c>
      <c r="M648" s="1">
        <v>37511</v>
      </c>
      <c r="N648">
        <v>2002</v>
      </c>
    </row>
    <row r="649" spans="1:14">
      <c r="A649" t="s">
        <v>14</v>
      </c>
      <c r="B649" t="str">
        <f>"112502200301"</f>
        <v>112502200301</v>
      </c>
      <c r="C649" t="s">
        <v>817</v>
      </c>
      <c r="D649" t="s">
        <v>342</v>
      </c>
      <c r="G649" t="s">
        <v>17</v>
      </c>
      <c r="H649" t="s">
        <v>51</v>
      </c>
      <c r="I649" t="s">
        <v>199</v>
      </c>
      <c r="J649" t="s">
        <v>200</v>
      </c>
      <c r="K649" t="s">
        <v>201</v>
      </c>
      <c r="L649" t="s">
        <v>22</v>
      </c>
      <c r="M649" s="1">
        <v>37677</v>
      </c>
      <c r="N649">
        <v>2003</v>
      </c>
    </row>
    <row r="650" spans="1:14">
      <c r="A650" t="s">
        <v>14</v>
      </c>
      <c r="B650" t="str">
        <f>"112308200201"</f>
        <v>112308200201</v>
      </c>
      <c r="C650" t="s">
        <v>857</v>
      </c>
      <c r="D650" t="s">
        <v>221</v>
      </c>
      <c r="G650" t="s">
        <v>17</v>
      </c>
      <c r="H650" t="s">
        <v>51</v>
      </c>
      <c r="I650" t="s">
        <v>199</v>
      </c>
      <c r="J650" t="s">
        <v>200</v>
      </c>
      <c r="K650" t="s">
        <v>213</v>
      </c>
      <c r="L650" t="s">
        <v>22</v>
      </c>
      <c r="M650" s="1">
        <v>37491</v>
      </c>
      <c r="N650">
        <v>2002</v>
      </c>
    </row>
    <row r="651" spans="1:14">
      <c r="A651" t="s">
        <v>14</v>
      </c>
      <c r="B651" t="str">
        <f>"110106200301"</f>
        <v>110106200301</v>
      </c>
      <c r="C651" t="s">
        <v>931</v>
      </c>
      <c r="D651" t="s">
        <v>209</v>
      </c>
      <c r="G651" t="s">
        <v>17</v>
      </c>
      <c r="H651" t="s">
        <v>51</v>
      </c>
      <c r="I651" t="s">
        <v>199</v>
      </c>
      <c r="J651" t="s">
        <v>200</v>
      </c>
      <c r="K651" t="s">
        <v>210</v>
      </c>
      <c r="L651" t="s">
        <v>63</v>
      </c>
      <c r="M651" s="1">
        <v>37773</v>
      </c>
      <c r="N651">
        <v>2003</v>
      </c>
    </row>
    <row r="652" spans="1:14">
      <c r="A652" t="s">
        <v>14</v>
      </c>
      <c r="B652" t="str">
        <f>"110309200202"</f>
        <v>110309200202</v>
      </c>
      <c r="C652" t="s">
        <v>949</v>
      </c>
      <c r="D652" t="s">
        <v>209</v>
      </c>
      <c r="G652" t="s">
        <v>17</v>
      </c>
      <c r="H652" t="s">
        <v>51</v>
      </c>
      <c r="I652" t="s">
        <v>199</v>
      </c>
      <c r="J652" t="s">
        <v>200</v>
      </c>
      <c r="K652" t="s">
        <v>201</v>
      </c>
      <c r="L652" t="s">
        <v>202</v>
      </c>
      <c r="M652" s="1">
        <v>37502</v>
      </c>
      <c r="N652">
        <v>2002</v>
      </c>
    </row>
    <row r="653" spans="1:14">
      <c r="A653" t="s">
        <v>14</v>
      </c>
      <c r="B653" t="str">
        <f>"110807200301"</f>
        <v>110807200301</v>
      </c>
      <c r="C653" t="s">
        <v>981</v>
      </c>
      <c r="D653" t="s">
        <v>392</v>
      </c>
      <c r="G653" t="s">
        <v>17</v>
      </c>
      <c r="H653" t="s">
        <v>51</v>
      </c>
      <c r="I653" t="s">
        <v>199</v>
      </c>
      <c r="J653" t="s">
        <v>200</v>
      </c>
      <c r="K653" t="s">
        <v>201</v>
      </c>
      <c r="L653" t="s">
        <v>22</v>
      </c>
      <c r="M653" s="1">
        <v>37810</v>
      </c>
      <c r="N653">
        <v>2003</v>
      </c>
    </row>
    <row r="654" spans="1:14">
      <c r="A654" t="s">
        <v>14</v>
      </c>
      <c r="B654" t="str">
        <f>"112702200200"</f>
        <v>112702200200</v>
      </c>
      <c r="C654" t="s">
        <v>992</v>
      </c>
      <c r="D654" t="s">
        <v>89</v>
      </c>
      <c r="G654" t="s">
        <v>17</v>
      </c>
      <c r="H654" t="s">
        <v>51</v>
      </c>
      <c r="I654" t="s">
        <v>199</v>
      </c>
      <c r="J654" t="s">
        <v>200</v>
      </c>
      <c r="K654" t="s">
        <v>201</v>
      </c>
      <c r="L654" t="s">
        <v>202</v>
      </c>
      <c r="M654" s="1">
        <v>37314</v>
      </c>
      <c r="N654">
        <v>2002</v>
      </c>
    </row>
    <row r="655" spans="1:14">
      <c r="A655" t="s">
        <v>14</v>
      </c>
      <c r="B655" t="str">
        <f>"111308200201"</f>
        <v>111308200201</v>
      </c>
      <c r="C655" t="s">
        <v>998</v>
      </c>
      <c r="D655" t="s">
        <v>24</v>
      </c>
      <c r="G655" t="s">
        <v>17</v>
      </c>
      <c r="H655" t="s">
        <v>51</v>
      </c>
      <c r="I655" t="s">
        <v>199</v>
      </c>
      <c r="J655" t="s">
        <v>200</v>
      </c>
      <c r="K655" t="s">
        <v>241</v>
      </c>
      <c r="M655" s="1">
        <v>37481</v>
      </c>
      <c r="N655">
        <v>2002</v>
      </c>
    </row>
    <row r="656" spans="1:14">
      <c r="A656" t="s">
        <v>14</v>
      </c>
      <c r="B656" t="str">
        <f>"110804200301"</f>
        <v>110804200301</v>
      </c>
      <c r="C656" t="s">
        <v>1048</v>
      </c>
      <c r="D656" t="s">
        <v>89</v>
      </c>
      <c r="G656" t="s">
        <v>17</v>
      </c>
      <c r="H656" t="s">
        <v>51</v>
      </c>
      <c r="I656" t="s">
        <v>199</v>
      </c>
      <c r="J656" t="s">
        <v>200</v>
      </c>
      <c r="K656" t="s">
        <v>201</v>
      </c>
      <c r="L656" t="s">
        <v>202</v>
      </c>
      <c r="M656" s="1">
        <v>37719</v>
      </c>
      <c r="N656">
        <v>2003</v>
      </c>
    </row>
    <row r="657" spans="1:14">
      <c r="A657" t="s">
        <v>14</v>
      </c>
      <c r="B657" t="str">
        <f>"110708200301"</f>
        <v>110708200301</v>
      </c>
      <c r="C657" t="s">
        <v>1051</v>
      </c>
      <c r="D657" t="s">
        <v>534</v>
      </c>
      <c r="G657" t="s">
        <v>17</v>
      </c>
      <c r="H657" t="s">
        <v>51</v>
      </c>
      <c r="I657" t="s">
        <v>199</v>
      </c>
      <c r="J657" t="s">
        <v>200</v>
      </c>
      <c r="K657" t="s">
        <v>213</v>
      </c>
      <c r="L657" t="s">
        <v>63</v>
      </c>
      <c r="M657" s="1">
        <v>37840</v>
      </c>
      <c r="N657">
        <v>2003</v>
      </c>
    </row>
    <row r="658" spans="1:14">
      <c r="A658" t="s">
        <v>14</v>
      </c>
      <c r="B658" t="str">
        <f>"112109200200"</f>
        <v>112109200200</v>
      </c>
      <c r="C658" t="s">
        <v>1114</v>
      </c>
      <c r="D658" t="s">
        <v>373</v>
      </c>
      <c r="G658" t="s">
        <v>17</v>
      </c>
      <c r="H658" t="s">
        <v>51</v>
      </c>
      <c r="I658" t="s">
        <v>199</v>
      </c>
      <c r="J658" t="s">
        <v>200</v>
      </c>
      <c r="K658" t="s">
        <v>201</v>
      </c>
      <c r="M658" s="1">
        <v>37520</v>
      </c>
      <c r="N658">
        <v>2002</v>
      </c>
    </row>
    <row r="659" spans="1:14">
      <c r="A659" t="s">
        <v>14</v>
      </c>
      <c r="B659" t="str">
        <f>"111209200203"</f>
        <v>111209200203</v>
      </c>
      <c r="C659" t="s">
        <v>1137</v>
      </c>
      <c r="D659" t="s">
        <v>89</v>
      </c>
      <c r="G659" t="s">
        <v>17</v>
      </c>
      <c r="H659" t="s">
        <v>51</v>
      </c>
      <c r="I659" t="s">
        <v>199</v>
      </c>
      <c r="J659" t="s">
        <v>200</v>
      </c>
      <c r="K659" t="s">
        <v>201</v>
      </c>
      <c r="M659" s="1">
        <v>37511</v>
      </c>
      <c r="N659">
        <v>2002</v>
      </c>
    </row>
    <row r="660" spans="1:14">
      <c r="A660" t="s">
        <v>14</v>
      </c>
      <c r="B660" t="str">
        <f>"113112200301"</f>
        <v>113112200301</v>
      </c>
      <c r="C660" t="s">
        <v>1151</v>
      </c>
      <c r="D660" t="s">
        <v>98</v>
      </c>
      <c r="G660" t="s">
        <v>17</v>
      </c>
      <c r="H660" t="s">
        <v>51</v>
      </c>
      <c r="I660" t="s">
        <v>199</v>
      </c>
      <c r="J660" t="s">
        <v>200</v>
      </c>
      <c r="K660" t="s">
        <v>210</v>
      </c>
      <c r="L660" t="s">
        <v>22</v>
      </c>
      <c r="M660" s="1">
        <v>37986</v>
      </c>
      <c r="N660">
        <v>2003</v>
      </c>
    </row>
    <row r="661" spans="1:14">
      <c r="A661" t="s">
        <v>14</v>
      </c>
      <c r="B661" t="str">
        <f>"111807200200"</f>
        <v>111807200200</v>
      </c>
      <c r="C661" t="s">
        <v>1201</v>
      </c>
      <c r="D661" t="s">
        <v>387</v>
      </c>
      <c r="G661" t="s">
        <v>17</v>
      </c>
      <c r="H661" t="s">
        <v>51</v>
      </c>
      <c r="I661" t="s">
        <v>199</v>
      </c>
      <c r="J661" t="s">
        <v>200</v>
      </c>
      <c r="K661" t="s">
        <v>201</v>
      </c>
      <c r="M661" s="1">
        <v>37455</v>
      </c>
      <c r="N661">
        <v>2002</v>
      </c>
    </row>
    <row r="662" spans="1:14">
      <c r="A662" t="s">
        <v>14</v>
      </c>
      <c r="B662" t="str">
        <f>"110505200300"</f>
        <v>110505200300</v>
      </c>
      <c r="C662" t="s">
        <v>1523</v>
      </c>
      <c r="D662" t="s">
        <v>129</v>
      </c>
      <c r="G662" t="s">
        <v>17</v>
      </c>
      <c r="H662" t="s">
        <v>51</v>
      </c>
      <c r="I662" t="s">
        <v>199</v>
      </c>
      <c r="J662" t="s">
        <v>200</v>
      </c>
      <c r="K662" t="s">
        <v>201</v>
      </c>
      <c r="L662" t="s">
        <v>202</v>
      </c>
      <c r="M662" s="1">
        <v>37746</v>
      </c>
      <c r="N662">
        <v>2003</v>
      </c>
    </row>
    <row r="663" spans="1:14">
      <c r="A663" t="s">
        <v>14</v>
      </c>
      <c r="B663" t="str">
        <f>"110101200201"</f>
        <v>110101200201</v>
      </c>
      <c r="C663" t="s">
        <v>1572</v>
      </c>
      <c r="D663" t="s">
        <v>50</v>
      </c>
      <c r="G663" t="s">
        <v>17</v>
      </c>
      <c r="H663" t="s">
        <v>51</v>
      </c>
      <c r="I663" t="s">
        <v>199</v>
      </c>
      <c r="J663" t="s">
        <v>200</v>
      </c>
      <c r="K663" t="s">
        <v>241</v>
      </c>
      <c r="L663" t="s">
        <v>22</v>
      </c>
      <c r="M663" s="1">
        <v>37257</v>
      </c>
      <c r="N663">
        <v>2002</v>
      </c>
    </row>
    <row r="664" spans="1:14">
      <c r="A664" t="s">
        <v>14</v>
      </c>
      <c r="B664" t="str">
        <f>"111511200200"</f>
        <v>111511200200</v>
      </c>
      <c r="C664" t="s">
        <v>1572</v>
      </c>
      <c r="D664" t="s">
        <v>115</v>
      </c>
      <c r="G664" t="s">
        <v>17</v>
      </c>
      <c r="H664" t="s">
        <v>51</v>
      </c>
      <c r="I664" t="s">
        <v>199</v>
      </c>
      <c r="J664" t="s">
        <v>200</v>
      </c>
      <c r="K664" t="s">
        <v>210</v>
      </c>
      <c r="L664" t="s">
        <v>22</v>
      </c>
      <c r="M664" s="1">
        <v>37575</v>
      </c>
      <c r="N664">
        <v>2002</v>
      </c>
    </row>
    <row r="665" spans="1:14">
      <c r="A665" t="s">
        <v>14</v>
      </c>
      <c r="B665" t="str">
        <f>"112003200202"</f>
        <v>112003200202</v>
      </c>
      <c r="C665" t="s">
        <v>1587</v>
      </c>
      <c r="D665" t="s">
        <v>305</v>
      </c>
      <c r="G665" t="s">
        <v>17</v>
      </c>
      <c r="H665" t="s">
        <v>51</v>
      </c>
      <c r="I665" t="s">
        <v>199</v>
      </c>
      <c r="J665" t="s">
        <v>200</v>
      </c>
      <c r="K665" t="s">
        <v>201</v>
      </c>
      <c r="L665" t="s">
        <v>22</v>
      </c>
      <c r="M665" s="1">
        <v>37335</v>
      </c>
      <c r="N665">
        <v>2002</v>
      </c>
    </row>
    <row r="666" spans="1:14">
      <c r="A666" t="s">
        <v>14</v>
      </c>
      <c r="B666" t="str">
        <f>"112605200301"</f>
        <v>112605200301</v>
      </c>
      <c r="C666" t="s">
        <v>1639</v>
      </c>
      <c r="D666" t="s">
        <v>782</v>
      </c>
      <c r="G666" t="s">
        <v>17</v>
      </c>
      <c r="H666" t="s">
        <v>51</v>
      </c>
      <c r="I666" t="s">
        <v>199</v>
      </c>
      <c r="J666" t="s">
        <v>200</v>
      </c>
      <c r="K666" t="s">
        <v>201</v>
      </c>
      <c r="L666" t="s">
        <v>202</v>
      </c>
      <c r="M666" s="1">
        <v>37767</v>
      </c>
      <c r="N666">
        <v>2003</v>
      </c>
    </row>
    <row r="667" spans="1:14">
      <c r="A667" t="s">
        <v>14</v>
      </c>
      <c r="B667" t="str">
        <f>"110910200300"</f>
        <v>110910200300</v>
      </c>
      <c r="C667" t="s">
        <v>1697</v>
      </c>
      <c r="D667" t="s">
        <v>558</v>
      </c>
      <c r="G667" t="s">
        <v>17</v>
      </c>
      <c r="H667" t="s">
        <v>51</v>
      </c>
      <c r="I667" t="s">
        <v>199</v>
      </c>
      <c r="J667" t="s">
        <v>200</v>
      </c>
      <c r="K667" t="s">
        <v>201</v>
      </c>
      <c r="L667" t="s">
        <v>22</v>
      </c>
      <c r="M667" s="1">
        <v>37903</v>
      </c>
      <c r="N667">
        <v>2003</v>
      </c>
    </row>
    <row r="668" spans="1:14">
      <c r="A668" t="s">
        <v>14</v>
      </c>
      <c r="B668" t="str">
        <f>"111408200302"</f>
        <v>111408200302</v>
      </c>
      <c r="C668" t="s">
        <v>1710</v>
      </c>
      <c r="D668" t="s">
        <v>70</v>
      </c>
      <c r="G668" t="s">
        <v>17</v>
      </c>
      <c r="H668" t="s">
        <v>51</v>
      </c>
      <c r="I668" t="s">
        <v>199</v>
      </c>
      <c r="J668" t="s">
        <v>200</v>
      </c>
      <c r="K668" t="s">
        <v>210</v>
      </c>
      <c r="L668" t="s">
        <v>22</v>
      </c>
      <c r="M668" s="1">
        <v>37847</v>
      </c>
      <c r="N668">
        <v>2003</v>
      </c>
    </row>
    <row r="669" spans="1:14">
      <c r="A669" t="s">
        <v>14</v>
      </c>
      <c r="B669" t="str">
        <f>"111603200202"</f>
        <v>111603200202</v>
      </c>
      <c r="C669" t="s">
        <v>1768</v>
      </c>
      <c r="D669" t="s">
        <v>100</v>
      </c>
      <c r="G669" t="s">
        <v>17</v>
      </c>
      <c r="H669" t="s">
        <v>51</v>
      </c>
      <c r="I669" t="s">
        <v>199</v>
      </c>
      <c r="J669" t="s">
        <v>200</v>
      </c>
      <c r="K669" t="s">
        <v>210</v>
      </c>
      <c r="M669" s="1">
        <v>37331</v>
      </c>
      <c r="N669">
        <v>2002</v>
      </c>
    </row>
    <row r="670" spans="1:14">
      <c r="A670" t="s">
        <v>14</v>
      </c>
      <c r="B670" t="str">
        <f>"112512200300"</f>
        <v>112512200300</v>
      </c>
      <c r="C670" t="s">
        <v>1773</v>
      </c>
      <c r="D670" t="s">
        <v>155</v>
      </c>
      <c r="G670" t="s">
        <v>17</v>
      </c>
      <c r="H670" t="s">
        <v>51</v>
      </c>
      <c r="I670" t="s">
        <v>199</v>
      </c>
      <c r="J670" t="s">
        <v>200</v>
      </c>
      <c r="K670" t="s">
        <v>201</v>
      </c>
      <c r="M670" s="1">
        <v>37980</v>
      </c>
      <c r="N670">
        <v>2003</v>
      </c>
    </row>
    <row r="671" spans="1:14">
      <c r="A671" t="s">
        <v>14</v>
      </c>
      <c r="B671" t="str">
        <f>"112103200302"</f>
        <v>112103200302</v>
      </c>
      <c r="C671" t="s">
        <v>1807</v>
      </c>
      <c r="D671" t="s">
        <v>98</v>
      </c>
      <c r="G671" t="s">
        <v>17</v>
      </c>
      <c r="H671" t="s">
        <v>51</v>
      </c>
      <c r="I671" t="s">
        <v>199</v>
      </c>
      <c r="J671" t="s">
        <v>200</v>
      </c>
      <c r="K671" t="s">
        <v>201</v>
      </c>
      <c r="L671" t="s">
        <v>202</v>
      </c>
      <c r="M671" s="1">
        <v>37701</v>
      </c>
      <c r="N671">
        <v>2003</v>
      </c>
    </row>
    <row r="672" spans="1:14">
      <c r="A672" t="s">
        <v>14</v>
      </c>
      <c r="B672" t="str">
        <f>"112701200200"</f>
        <v>112701200200</v>
      </c>
      <c r="C672" t="s">
        <v>1811</v>
      </c>
      <c r="D672" t="s">
        <v>531</v>
      </c>
      <c r="G672" t="s">
        <v>17</v>
      </c>
      <c r="H672" t="s">
        <v>51</v>
      </c>
      <c r="I672" t="s">
        <v>199</v>
      </c>
      <c r="J672" t="s">
        <v>200</v>
      </c>
      <c r="K672" t="s">
        <v>241</v>
      </c>
      <c r="M672" s="1">
        <v>37283</v>
      </c>
      <c r="N672">
        <v>2002</v>
      </c>
    </row>
    <row r="673" spans="1:14">
      <c r="A673" t="s">
        <v>14</v>
      </c>
      <c r="B673" t="str">
        <f>"112407200201"</f>
        <v>112407200201</v>
      </c>
      <c r="C673" t="s">
        <v>1837</v>
      </c>
      <c r="D673" t="s">
        <v>902</v>
      </c>
      <c r="G673" t="s">
        <v>17</v>
      </c>
      <c r="H673" t="s">
        <v>51</v>
      </c>
      <c r="I673" t="s">
        <v>199</v>
      </c>
      <c r="J673" t="s">
        <v>200</v>
      </c>
      <c r="K673" t="s">
        <v>201</v>
      </c>
      <c r="L673" t="s">
        <v>202</v>
      </c>
      <c r="M673" s="1">
        <v>37461</v>
      </c>
      <c r="N673">
        <v>2002</v>
      </c>
    </row>
    <row r="674" spans="1:14">
      <c r="A674" t="s">
        <v>14</v>
      </c>
      <c r="B674" t="str">
        <f>"112802200201"</f>
        <v>112802200201</v>
      </c>
      <c r="C674" t="s">
        <v>1851</v>
      </c>
      <c r="D674" t="s">
        <v>53</v>
      </c>
      <c r="G674" t="s">
        <v>17</v>
      </c>
      <c r="H674" t="s">
        <v>51</v>
      </c>
      <c r="I674" t="s">
        <v>199</v>
      </c>
      <c r="J674" t="s">
        <v>200</v>
      </c>
      <c r="K674" t="s">
        <v>201</v>
      </c>
      <c r="M674" s="1">
        <v>37315</v>
      </c>
      <c r="N674">
        <v>2002</v>
      </c>
    </row>
    <row r="675" spans="1:14">
      <c r="A675" t="s">
        <v>14</v>
      </c>
      <c r="B675" t="str">
        <f>"112703200303"</f>
        <v>112703200303</v>
      </c>
      <c r="C675" t="s">
        <v>1861</v>
      </c>
      <c r="D675" t="s">
        <v>53</v>
      </c>
      <c r="G675" t="s">
        <v>17</v>
      </c>
      <c r="H675" t="s">
        <v>51</v>
      </c>
      <c r="I675" t="s">
        <v>199</v>
      </c>
      <c r="J675" t="s">
        <v>200</v>
      </c>
      <c r="K675" t="s">
        <v>201</v>
      </c>
      <c r="M675" s="1">
        <v>37707</v>
      </c>
      <c r="N675">
        <v>2003</v>
      </c>
    </row>
    <row r="676" spans="1:14">
      <c r="A676" t="s">
        <v>14</v>
      </c>
      <c r="B676" t="str">
        <f>"110205200300"</f>
        <v>110205200300</v>
      </c>
      <c r="C676" t="s">
        <v>1873</v>
      </c>
      <c r="D676" t="s">
        <v>653</v>
      </c>
      <c r="G676" t="s">
        <v>17</v>
      </c>
      <c r="H676" t="s">
        <v>51</v>
      </c>
      <c r="I676" t="s">
        <v>199</v>
      </c>
      <c r="J676" t="s">
        <v>200</v>
      </c>
      <c r="K676" t="s">
        <v>241</v>
      </c>
      <c r="M676" s="1">
        <v>37743</v>
      </c>
      <c r="N676">
        <v>2003</v>
      </c>
    </row>
    <row r="677" spans="1:14">
      <c r="A677" t="s">
        <v>14</v>
      </c>
      <c r="B677" t="str">
        <f>"110905200200"</f>
        <v>110905200200</v>
      </c>
      <c r="C677" t="s">
        <v>1878</v>
      </c>
      <c r="D677" t="s">
        <v>1103</v>
      </c>
      <c r="G677" t="s">
        <v>17</v>
      </c>
      <c r="H677" t="s">
        <v>51</v>
      </c>
      <c r="I677" t="s">
        <v>199</v>
      </c>
      <c r="J677" t="s">
        <v>200</v>
      </c>
      <c r="K677" t="s">
        <v>241</v>
      </c>
      <c r="L677" t="s">
        <v>22</v>
      </c>
      <c r="M677" s="1">
        <v>37385</v>
      </c>
      <c r="N677">
        <v>2002</v>
      </c>
    </row>
    <row r="678" spans="1:14">
      <c r="A678" t="s">
        <v>14</v>
      </c>
      <c r="B678" t="str">
        <f>"112802200300"</f>
        <v>112802200300</v>
      </c>
      <c r="C678" t="s">
        <v>1998</v>
      </c>
      <c r="D678" t="s">
        <v>70</v>
      </c>
      <c r="G678" t="s">
        <v>17</v>
      </c>
      <c r="H678" t="s">
        <v>51</v>
      </c>
      <c r="I678" t="s">
        <v>199</v>
      </c>
      <c r="J678" t="s">
        <v>200</v>
      </c>
      <c r="K678" t="s">
        <v>201</v>
      </c>
      <c r="L678" t="s">
        <v>22</v>
      </c>
      <c r="M678" s="1">
        <v>37680</v>
      </c>
      <c r="N678">
        <v>2003</v>
      </c>
    </row>
    <row r="679" spans="1:14">
      <c r="A679" t="s">
        <v>14</v>
      </c>
      <c r="B679" t="str">
        <f>"112708200301"</f>
        <v>112708200301</v>
      </c>
      <c r="C679" t="s">
        <v>2133</v>
      </c>
      <c r="D679" t="s">
        <v>2134</v>
      </c>
      <c r="G679" t="s">
        <v>17</v>
      </c>
      <c r="H679" t="s">
        <v>51</v>
      </c>
      <c r="I679" t="s">
        <v>199</v>
      </c>
      <c r="J679" t="s">
        <v>200</v>
      </c>
      <c r="K679" t="s">
        <v>210</v>
      </c>
      <c r="L679" t="s">
        <v>22</v>
      </c>
      <c r="M679" s="1">
        <v>37860</v>
      </c>
      <c r="N679">
        <v>2003</v>
      </c>
    </row>
    <row r="680" spans="1:14">
      <c r="A680" t="s">
        <v>14</v>
      </c>
      <c r="B680" t="str">
        <f>"112110200301"</f>
        <v>112110200301</v>
      </c>
      <c r="C680" t="s">
        <v>2181</v>
      </c>
      <c r="D680" t="s">
        <v>89</v>
      </c>
      <c r="G680" t="s">
        <v>17</v>
      </c>
      <c r="H680" t="s">
        <v>51</v>
      </c>
      <c r="I680" t="s">
        <v>199</v>
      </c>
      <c r="J680" t="s">
        <v>200</v>
      </c>
      <c r="K680" t="s">
        <v>201</v>
      </c>
      <c r="L680" t="s">
        <v>22</v>
      </c>
      <c r="M680" s="1">
        <v>37915</v>
      </c>
      <c r="N680">
        <v>2003</v>
      </c>
    </row>
    <row r="681" spans="1:14">
      <c r="A681" t="s">
        <v>14</v>
      </c>
      <c r="B681" t="str">
        <f>"110607200300"</f>
        <v>110607200300</v>
      </c>
      <c r="C681" t="s">
        <v>2295</v>
      </c>
      <c r="D681" t="s">
        <v>344</v>
      </c>
      <c r="G681" t="s">
        <v>17</v>
      </c>
      <c r="H681" t="s">
        <v>51</v>
      </c>
      <c r="I681" t="s">
        <v>199</v>
      </c>
      <c r="J681" t="s">
        <v>200</v>
      </c>
      <c r="K681" t="s">
        <v>201</v>
      </c>
      <c r="M681" s="1">
        <v>37808</v>
      </c>
      <c r="N681">
        <v>2003</v>
      </c>
    </row>
    <row r="682" spans="1:14">
      <c r="A682" t="s">
        <v>14</v>
      </c>
      <c r="B682" t="str">
        <f>"111003200200"</f>
        <v>111003200200</v>
      </c>
      <c r="C682" t="s">
        <v>2295</v>
      </c>
      <c r="D682" t="s">
        <v>16</v>
      </c>
      <c r="G682" t="s">
        <v>17</v>
      </c>
      <c r="H682" t="s">
        <v>51</v>
      </c>
      <c r="I682" t="s">
        <v>199</v>
      </c>
      <c r="J682" t="s">
        <v>200</v>
      </c>
      <c r="K682" t="s">
        <v>201</v>
      </c>
      <c r="L682" t="s">
        <v>22</v>
      </c>
      <c r="M682" s="1">
        <v>37325</v>
      </c>
      <c r="N682">
        <v>2002</v>
      </c>
    </row>
    <row r="683" spans="1:14">
      <c r="A683" t="s">
        <v>14</v>
      </c>
      <c r="B683" t="str">
        <f>"112110200304"</f>
        <v>112110200304</v>
      </c>
      <c r="C683" t="s">
        <v>2317</v>
      </c>
      <c r="D683" t="s">
        <v>221</v>
      </c>
      <c r="G683" t="s">
        <v>17</v>
      </c>
      <c r="H683" t="s">
        <v>51</v>
      </c>
      <c r="I683" t="s">
        <v>199</v>
      </c>
      <c r="J683" t="s">
        <v>200</v>
      </c>
      <c r="K683" t="s">
        <v>210</v>
      </c>
      <c r="L683" t="s">
        <v>63</v>
      </c>
      <c r="M683" s="1">
        <v>37915</v>
      </c>
      <c r="N683">
        <v>2003</v>
      </c>
    </row>
    <row r="684" spans="1:14">
      <c r="A684" t="s">
        <v>14</v>
      </c>
      <c r="B684" t="str">
        <f>"112101200301"</f>
        <v>112101200301</v>
      </c>
      <c r="C684" t="s">
        <v>2390</v>
      </c>
      <c r="D684" t="s">
        <v>16</v>
      </c>
      <c r="G684" t="s">
        <v>17</v>
      </c>
      <c r="H684" t="s">
        <v>51</v>
      </c>
      <c r="I684" t="s">
        <v>199</v>
      </c>
      <c r="J684" t="s">
        <v>200</v>
      </c>
      <c r="K684" t="s">
        <v>201</v>
      </c>
      <c r="L684" t="s">
        <v>22</v>
      </c>
      <c r="M684" s="1">
        <v>37642</v>
      </c>
      <c r="N684">
        <v>2003</v>
      </c>
    </row>
    <row r="685" spans="1:14">
      <c r="A685" t="s">
        <v>14</v>
      </c>
      <c r="B685" t="str">
        <f>"111803200302"</f>
        <v>111803200302</v>
      </c>
      <c r="C685" t="s">
        <v>2401</v>
      </c>
      <c r="D685" t="s">
        <v>782</v>
      </c>
      <c r="G685" t="s">
        <v>17</v>
      </c>
      <c r="H685" t="s">
        <v>51</v>
      </c>
      <c r="I685" t="s">
        <v>199</v>
      </c>
      <c r="J685" t="s">
        <v>200</v>
      </c>
      <c r="K685" t="s">
        <v>201</v>
      </c>
      <c r="M685" s="1">
        <v>37698</v>
      </c>
      <c r="N685">
        <v>2003</v>
      </c>
    </row>
    <row r="686" spans="1:14">
      <c r="A686" t="s">
        <v>14</v>
      </c>
      <c r="B686" t="str">
        <f>"110502200301"</f>
        <v>110502200301</v>
      </c>
      <c r="C686" t="s">
        <v>2427</v>
      </c>
      <c r="D686" t="s">
        <v>382</v>
      </c>
      <c r="G686" t="s">
        <v>17</v>
      </c>
      <c r="H686" t="s">
        <v>51</v>
      </c>
      <c r="I686" t="s">
        <v>199</v>
      </c>
      <c r="J686" t="s">
        <v>200</v>
      </c>
      <c r="K686" t="s">
        <v>201</v>
      </c>
      <c r="L686" t="s">
        <v>22</v>
      </c>
      <c r="M686" s="1">
        <v>37657</v>
      </c>
      <c r="N686">
        <v>2003</v>
      </c>
    </row>
    <row r="687" spans="1:14">
      <c r="A687" t="s">
        <v>14</v>
      </c>
      <c r="B687" t="str">
        <f>"111406200201"</f>
        <v>111406200201</v>
      </c>
      <c r="C687" t="s">
        <v>2453</v>
      </c>
      <c r="D687" t="s">
        <v>344</v>
      </c>
      <c r="G687" t="s">
        <v>17</v>
      </c>
      <c r="H687" t="s">
        <v>51</v>
      </c>
      <c r="I687" t="s">
        <v>199</v>
      </c>
      <c r="J687" t="s">
        <v>200</v>
      </c>
      <c r="K687" t="s">
        <v>201</v>
      </c>
      <c r="L687" t="s">
        <v>202</v>
      </c>
      <c r="M687" s="1">
        <v>37421</v>
      </c>
      <c r="N687">
        <v>2002</v>
      </c>
    </row>
    <row r="688" spans="1:14">
      <c r="A688" t="s">
        <v>14</v>
      </c>
      <c r="B688" t="str">
        <f>"112007200200"</f>
        <v>112007200200</v>
      </c>
      <c r="C688" t="s">
        <v>2652</v>
      </c>
      <c r="D688" t="s">
        <v>579</v>
      </c>
      <c r="G688" t="s">
        <v>17</v>
      </c>
      <c r="H688" t="s">
        <v>51</v>
      </c>
      <c r="I688" t="s">
        <v>199</v>
      </c>
      <c r="J688" t="s">
        <v>200</v>
      </c>
      <c r="K688" t="s">
        <v>201</v>
      </c>
      <c r="M688" s="1">
        <v>37457</v>
      </c>
      <c r="N688">
        <v>2002</v>
      </c>
    </row>
    <row r="689" spans="1:14">
      <c r="A689" t="s">
        <v>14</v>
      </c>
      <c r="B689" t="str">
        <f>"112703200304"</f>
        <v>112703200304</v>
      </c>
      <c r="C689" t="s">
        <v>2701</v>
      </c>
      <c r="D689" t="s">
        <v>728</v>
      </c>
      <c r="G689" t="s">
        <v>17</v>
      </c>
      <c r="H689" t="s">
        <v>51</v>
      </c>
      <c r="I689" t="s">
        <v>199</v>
      </c>
      <c r="J689" t="s">
        <v>200</v>
      </c>
      <c r="K689" t="s">
        <v>213</v>
      </c>
      <c r="L689" t="s">
        <v>22</v>
      </c>
      <c r="M689" s="1">
        <v>37707</v>
      </c>
      <c r="N689">
        <v>2003</v>
      </c>
    </row>
    <row r="690" spans="1:14">
      <c r="A690" t="s">
        <v>14</v>
      </c>
      <c r="B690" t="str">
        <f>"111803200303"</f>
        <v>111803200303</v>
      </c>
      <c r="C690" t="s">
        <v>2727</v>
      </c>
      <c r="D690" t="s">
        <v>95</v>
      </c>
      <c r="G690" t="s">
        <v>17</v>
      </c>
      <c r="H690" t="s">
        <v>51</v>
      </c>
      <c r="I690" t="s">
        <v>199</v>
      </c>
      <c r="J690" t="s">
        <v>200</v>
      </c>
      <c r="K690" t="s">
        <v>201</v>
      </c>
      <c r="L690" t="s">
        <v>22</v>
      </c>
      <c r="M690" s="1">
        <v>37698</v>
      </c>
      <c r="N690">
        <v>2003</v>
      </c>
    </row>
    <row r="691" spans="1:14">
      <c r="A691" t="s">
        <v>14</v>
      </c>
      <c r="B691" t="str">
        <f>"111806200201"</f>
        <v>111806200201</v>
      </c>
      <c r="C691" t="s">
        <v>2816</v>
      </c>
      <c r="D691" t="s">
        <v>2817</v>
      </c>
      <c r="G691" t="s">
        <v>17</v>
      </c>
      <c r="H691" t="s">
        <v>51</v>
      </c>
      <c r="I691" t="s">
        <v>199</v>
      </c>
      <c r="J691" t="s">
        <v>200</v>
      </c>
      <c r="K691" t="s">
        <v>201</v>
      </c>
      <c r="L691" t="s">
        <v>63</v>
      </c>
      <c r="M691" s="1">
        <v>37425</v>
      </c>
      <c r="N691">
        <v>2002</v>
      </c>
    </row>
    <row r="692" spans="1:14">
      <c r="A692" t="s">
        <v>14</v>
      </c>
      <c r="B692" t="str">
        <f>"112510200300"</f>
        <v>112510200300</v>
      </c>
      <c r="C692" t="s">
        <v>2858</v>
      </c>
      <c r="D692" t="s">
        <v>209</v>
      </c>
      <c r="G692" t="s">
        <v>17</v>
      </c>
      <c r="H692" t="s">
        <v>51</v>
      </c>
      <c r="I692" t="s">
        <v>199</v>
      </c>
      <c r="J692" t="s">
        <v>200</v>
      </c>
      <c r="K692" t="s">
        <v>201</v>
      </c>
      <c r="L692" t="s">
        <v>22</v>
      </c>
      <c r="M692" s="1">
        <v>37919</v>
      </c>
      <c r="N692">
        <v>2003</v>
      </c>
    </row>
    <row r="693" spans="1:14">
      <c r="A693" t="s">
        <v>14</v>
      </c>
      <c r="B693" t="str">
        <f>"110507200202"</f>
        <v>110507200202</v>
      </c>
      <c r="C693" t="s">
        <v>2877</v>
      </c>
      <c r="D693" t="s">
        <v>89</v>
      </c>
      <c r="G693" t="s">
        <v>17</v>
      </c>
      <c r="H693" t="s">
        <v>51</v>
      </c>
      <c r="I693" t="s">
        <v>199</v>
      </c>
      <c r="J693" t="s">
        <v>200</v>
      </c>
      <c r="K693" t="s">
        <v>201</v>
      </c>
      <c r="L693" t="s">
        <v>63</v>
      </c>
      <c r="M693" s="1">
        <v>37442</v>
      </c>
      <c r="N693">
        <v>2002</v>
      </c>
    </row>
    <row r="694" spans="1:14">
      <c r="A694" t="s">
        <v>14</v>
      </c>
      <c r="B694" t="str">
        <f>"111206200200"</f>
        <v>111206200200</v>
      </c>
      <c r="C694" t="s">
        <v>2903</v>
      </c>
      <c r="D694" t="s">
        <v>129</v>
      </c>
      <c r="G694" t="s">
        <v>17</v>
      </c>
      <c r="H694" t="s">
        <v>51</v>
      </c>
      <c r="I694" t="s">
        <v>199</v>
      </c>
      <c r="J694" t="s">
        <v>200</v>
      </c>
      <c r="K694" t="s">
        <v>201</v>
      </c>
      <c r="L694" t="s">
        <v>63</v>
      </c>
      <c r="M694" s="1">
        <v>37419</v>
      </c>
      <c r="N694">
        <v>2002</v>
      </c>
    </row>
    <row r="695" spans="1:14">
      <c r="A695" t="s">
        <v>14</v>
      </c>
      <c r="B695" t="str">
        <f>"111409200300"</f>
        <v>111409200300</v>
      </c>
      <c r="C695" t="s">
        <v>2906</v>
      </c>
      <c r="D695" t="s">
        <v>534</v>
      </c>
      <c r="G695" t="s">
        <v>17</v>
      </c>
      <c r="H695" t="s">
        <v>51</v>
      </c>
      <c r="I695" t="s">
        <v>199</v>
      </c>
      <c r="J695" t="s">
        <v>200</v>
      </c>
      <c r="K695" t="s">
        <v>201</v>
      </c>
      <c r="M695" s="1">
        <v>37878</v>
      </c>
      <c r="N695">
        <v>2003</v>
      </c>
    </row>
    <row r="696" spans="1:14">
      <c r="A696" t="s">
        <v>14</v>
      </c>
      <c r="B696" t="str">
        <f>"113103199300"</f>
        <v>113103199300</v>
      </c>
      <c r="C696" t="s">
        <v>1036</v>
      </c>
      <c r="D696" t="s">
        <v>531</v>
      </c>
      <c r="G696" t="s">
        <v>17</v>
      </c>
      <c r="H696" t="s">
        <v>25</v>
      </c>
      <c r="I696" t="s">
        <v>1037</v>
      </c>
      <c r="J696" t="s">
        <v>200</v>
      </c>
      <c r="K696" t="s">
        <v>1038</v>
      </c>
      <c r="L696" t="s">
        <v>340</v>
      </c>
      <c r="M696" s="1">
        <v>34059</v>
      </c>
      <c r="N696">
        <v>1993</v>
      </c>
    </row>
    <row r="697" spans="1:14">
      <c r="A697" t="s">
        <v>14</v>
      </c>
      <c r="B697" t="str">
        <f>"122304200400"</f>
        <v>122304200400</v>
      </c>
      <c r="C697" t="s">
        <v>715</v>
      </c>
      <c r="D697" t="s">
        <v>194</v>
      </c>
      <c r="G697" t="s">
        <v>32</v>
      </c>
      <c r="H697" t="s">
        <v>33</v>
      </c>
      <c r="I697" t="s">
        <v>45</v>
      </c>
      <c r="J697" t="s">
        <v>46</v>
      </c>
      <c r="K697" t="s">
        <v>179</v>
      </c>
      <c r="M697" s="1">
        <v>38100</v>
      </c>
      <c r="N697">
        <v>2004</v>
      </c>
    </row>
    <row r="698" spans="1:14">
      <c r="A698" t="s">
        <v>14</v>
      </c>
      <c r="B698" t="str">
        <f>"122601200500"</f>
        <v>122601200500</v>
      </c>
      <c r="C698" t="s">
        <v>924</v>
      </c>
      <c r="D698" t="s">
        <v>233</v>
      </c>
      <c r="G698" t="s">
        <v>32</v>
      </c>
      <c r="H698" t="s">
        <v>33</v>
      </c>
      <c r="I698" t="s">
        <v>45</v>
      </c>
      <c r="J698" t="s">
        <v>46</v>
      </c>
      <c r="K698" t="s">
        <v>925</v>
      </c>
      <c r="L698" t="s">
        <v>22</v>
      </c>
      <c r="M698" s="1">
        <v>38378</v>
      </c>
      <c r="N698">
        <v>2005</v>
      </c>
    </row>
    <row r="699" spans="1:14">
      <c r="A699" t="s">
        <v>14</v>
      </c>
      <c r="B699" t="str">
        <f>"121001200500"</f>
        <v>121001200500</v>
      </c>
      <c r="C699" t="s">
        <v>984</v>
      </c>
      <c r="D699" t="s">
        <v>380</v>
      </c>
      <c r="G699" t="s">
        <v>32</v>
      </c>
      <c r="H699" t="s">
        <v>33</v>
      </c>
      <c r="I699" t="s">
        <v>45</v>
      </c>
      <c r="J699" t="s">
        <v>46</v>
      </c>
      <c r="K699" t="s">
        <v>602</v>
      </c>
      <c r="L699" t="s">
        <v>22</v>
      </c>
      <c r="M699" s="1">
        <v>38362</v>
      </c>
      <c r="N699">
        <v>2005</v>
      </c>
    </row>
    <row r="700" spans="1:14">
      <c r="A700" t="s">
        <v>14</v>
      </c>
      <c r="B700" t="str">
        <f>"121305200400"</f>
        <v>121305200400</v>
      </c>
      <c r="C700" t="s">
        <v>1229</v>
      </c>
      <c r="D700" t="s">
        <v>233</v>
      </c>
      <c r="G700" t="s">
        <v>32</v>
      </c>
      <c r="H700" t="s">
        <v>33</v>
      </c>
      <c r="I700" t="s">
        <v>45</v>
      </c>
      <c r="J700" t="s">
        <v>46</v>
      </c>
      <c r="K700" t="s">
        <v>179</v>
      </c>
      <c r="M700" s="1">
        <v>38120</v>
      </c>
      <c r="N700">
        <v>2004</v>
      </c>
    </row>
    <row r="701" spans="1:14">
      <c r="A701" t="s">
        <v>14</v>
      </c>
      <c r="B701" t="str">
        <f>"121304200400"</f>
        <v>121304200400</v>
      </c>
      <c r="C701" t="s">
        <v>1762</v>
      </c>
      <c r="D701" t="s">
        <v>139</v>
      </c>
      <c r="G701" t="s">
        <v>32</v>
      </c>
      <c r="H701" t="s">
        <v>33</v>
      </c>
      <c r="I701" t="s">
        <v>45</v>
      </c>
      <c r="J701" t="s">
        <v>46</v>
      </c>
      <c r="K701" t="s">
        <v>47</v>
      </c>
      <c r="M701" s="1">
        <v>38090</v>
      </c>
      <c r="N701">
        <v>2004</v>
      </c>
    </row>
    <row r="702" spans="1:14">
      <c r="A702" t="s">
        <v>14</v>
      </c>
      <c r="B702" t="str">
        <f>"122102200403"</f>
        <v>122102200403</v>
      </c>
      <c r="C702" t="s">
        <v>2046</v>
      </c>
      <c r="D702" t="s">
        <v>380</v>
      </c>
      <c r="G702" t="s">
        <v>32</v>
      </c>
      <c r="H702" t="s">
        <v>33</v>
      </c>
      <c r="I702" t="s">
        <v>45</v>
      </c>
      <c r="J702" t="s">
        <v>46</v>
      </c>
      <c r="K702" t="s">
        <v>602</v>
      </c>
      <c r="M702" s="1">
        <v>38038</v>
      </c>
      <c r="N702">
        <v>2004</v>
      </c>
    </row>
    <row r="703" spans="1:14">
      <c r="A703" t="s">
        <v>14</v>
      </c>
      <c r="B703" t="str">
        <f>"121911200400"</f>
        <v>121911200400</v>
      </c>
      <c r="C703" t="s">
        <v>2645</v>
      </c>
      <c r="D703" t="s">
        <v>2365</v>
      </c>
      <c r="G703" t="s">
        <v>32</v>
      </c>
      <c r="H703" t="s">
        <v>33</v>
      </c>
      <c r="I703" t="s">
        <v>45</v>
      </c>
      <c r="J703" t="s">
        <v>46</v>
      </c>
      <c r="K703" t="s">
        <v>47</v>
      </c>
      <c r="L703" t="s">
        <v>22</v>
      </c>
      <c r="M703" s="1">
        <v>38310</v>
      </c>
      <c r="N703">
        <v>2004</v>
      </c>
    </row>
    <row r="704" spans="1:14">
      <c r="A704" t="s">
        <v>14</v>
      </c>
      <c r="B704" t="str">
        <f>"120209200200"</f>
        <v>120209200200</v>
      </c>
      <c r="C704" t="s">
        <v>419</v>
      </c>
      <c r="D704" t="s">
        <v>421</v>
      </c>
      <c r="G704" t="s">
        <v>32</v>
      </c>
      <c r="H704" t="s">
        <v>65</v>
      </c>
      <c r="I704" t="s">
        <v>45</v>
      </c>
      <c r="J704" t="s">
        <v>46</v>
      </c>
      <c r="K704" t="s">
        <v>422</v>
      </c>
      <c r="L704" t="s">
        <v>22</v>
      </c>
      <c r="M704" s="1">
        <v>37501</v>
      </c>
      <c r="N704">
        <v>2002</v>
      </c>
    </row>
    <row r="705" spans="1:14">
      <c r="A705" t="s">
        <v>14</v>
      </c>
      <c r="B705" t="str">
        <f>"120804200201"</f>
        <v>120804200201</v>
      </c>
      <c r="C705" t="s">
        <v>423</v>
      </c>
      <c r="D705" t="s">
        <v>232</v>
      </c>
      <c r="G705" t="s">
        <v>32</v>
      </c>
      <c r="H705" t="s">
        <v>65</v>
      </c>
      <c r="I705" t="s">
        <v>45</v>
      </c>
      <c r="J705" t="s">
        <v>46</v>
      </c>
      <c r="K705" t="s">
        <v>230</v>
      </c>
      <c r="L705" t="s">
        <v>22</v>
      </c>
      <c r="M705" s="1">
        <v>37354</v>
      </c>
      <c r="N705">
        <v>2002</v>
      </c>
    </row>
    <row r="706" spans="1:14">
      <c r="A706" t="s">
        <v>14</v>
      </c>
      <c r="B706" t="str">
        <f>"120712200300"</f>
        <v>120712200300</v>
      </c>
      <c r="C706" t="s">
        <v>592</v>
      </c>
      <c r="D706" t="s">
        <v>233</v>
      </c>
      <c r="G706" t="s">
        <v>32</v>
      </c>
      <c r="H706" t="s">
        <v>65</v>
      </c>
      <c r="I706" t="s">
        <v>45</v>
      </c>
      <c r="J706" t="s">
        <v>46</v>
      </c>
      <c r="K706" t="s">
        <v>491</v>
      </c>
      <c r="M706" s="1">
        <v>37962</v>
      </c>
      <c r="N706">
        <v>2003</v>
      </c>
    </row>
    <row r="707" spans="1:14">
      <c r="A707" t="s">
        <v>14</v>
      </c>
      <c r="B707" t="str">
        <f>"122708200200"</f>
        <v>122708200200</v>
      </c>
      <c r="C707" t="s">
        <v>864</v>
      </c>
      <c r="D707" t="s">
        <v>233</v>
      </c>
      <c r="G707" t="s">
        <v>32</v>
      </c>
      <c r="H707" t="s">
        <v>65</v>
      </c>
      <c r="I707" t="s">
        <v>45</v>
      </c>
      <c r="J707" t="s">
        <v>46</v>
      </c>
      <c r="K707" t="s">
        <v>230</v>
      </c>
      <c r="L707" t="s">
        <v>22</v>
      </c>
      <c r="M707" s="1">
        <v>37495</v>
      </c>
      <c r="N707">
        <v>2002</v>
      </c>
    </row>
    <row r="708" spans="1:14">
      <c r="A708" t="s">
        <v>14</v>
      </c>
      <c r="B708" t="str">
        <f>"120407200300"</f>
        <v>120407200300</v>
      </c>
      <c r="C708" t="s">
        <v>964</v>
      </c>
      <c r="D708" t="s">
        <v>429</v>
      </c>
      <c r="G708" t="s">
        <v>32</v>
      </c>
      <c r="H708" t="s">
        <v>65</v>
      </c>
      <c r="I708" t="s">
        <v>45</v>
      </c>
      <c r="J708" t="s">
        <v>46</v>
      </c>
      <c r="K708" t="s">
        <v>965</v>
      </c>
      <c r="L708" t="s">
        <v>22</v>
      </c>
      <c r="M708" s="1">
        <v>37806</v>
      </c>
      <c r="N708">
        <v>2003</v>
      </c>
    </row>
    <row r="709" spans="1:14">
      <c r="A709" t="s">
        <v>14</v>
      </c>
      <c r="B709" t="str">
        <f>"121806200200"</f>
        <v>121806200200</v>
      </c>
      <c r="C709" t="s">
        <v>1080</v>
      </c>
      <c r="D709" t="s">
        <v>31</v>
      </c>
      <c r="G709" t="s">
        <v>32</v>
      </c>
      <c r="H709" t="s">
        <v>65</v>
      </c>
      <c r="I709" t="s">
        <v>45</v>
      </c>
      <c r="J709" t="s">
        <v>46</v>
      </c>
      <c r="K709" t="s">
        <v>1081</v>
      </c>
      <c r="L709" t="s">
        <v>63</v>
      </c>
      <c r="M709" s="1">
        <v>37425</v>
      </c>
      <c r="N709">
        <v>2002</v>
      </c>
    </row>
    <row r="710" spans="1:14">
      <c r="A710" t="s">
        <v>14</v>
      </c>
      <c r="B710" t="str">
        <f>"122904200201"</f>
        <v>122904200201</v>
      </c>
      <c r="C710" t="s">
        <v>1155</v>
      </c>
      <c r="D710" t="s">
        <v>233</v>
      </c>
      <c r="G710" t="s">
        <v>32</v>
      </c>
      <c r="H710" t="s">
        <v>65</v>
      </c>
      <c r="I710" t="s">
        <v>45</v>
      </c>
      <c r="J710" t="s">
        <v>46</v>
      </c>
      <c r="K710" t="s">
        <v>491</v>
      </c>
      <c r="L710" t="s">
        <v>22</v>
      </c>
      <c r="M710" s="1">
        <v>37375</v>
      </c>
      <c r="N710">
        <v>2002</v>
      </c>
    </row>
    <row r="711" spans="1:14">
      <c r="A711" t="s">
        <v>14</v>
      </c>
      <c r="B711" t="str">
        <f>"122310200301"</f>
        <v>122310200301</v>
      </c>
      <c r="C711" t="s">
        <v>1374</v>
      </c>
      <c r="D711" t="s">
        <v>127</v>
      </c>
      <c r="G711" t="s">
        <v>32</v>
      </c>
      <c r="H711" t="s">
        <v>65</v>
      </c>
      <c r="I711" t="s">
        <v>45</v>
      </c>
      <c r="J711" t="s">
        <v>46</v>
      </c>
      <c r="K711" t="s">
        <v>179</v>
      </c>
      <c r="L711" t="s">
        <v>63</v>
      </c>
      <c r="M711" s="1">
        <v>37917</v>
      </c>
      <c r="N711">
        <v>2003</v>
      </c>
    </row>
    <row r="712" spans="1:14">
      <c r="A712" t="s">
        <v>14</v>
      </c>
      <c r="B712" t="str">
        <f>"120712200301"</f>
        <v>120712200301</v>
      </c>
      <c r="C712" t="s">
        <v>1434</v>
      </c>
      <c r="D712" t="s">
        <v>127</v>
      </c>
      <c r="G712" t="s">
        <v>32</v>
      </c>
      <c r="H712" t="s">
        <v>65</v>
      </c>
      <c r="I712" t="s">
        <v>45</v>
      </c>
      <c r="J712" t="s">
        <v>46</v>
      </c>
      <c r="K712" t="s">
        <v>965</v>
      </c>
      <c r="L712" t="s">
        <v>22</v>
      </c>
      <c r="M712" s="1">
        <v>37962</v>
      </c>
      <c r="N712">
        <v>2003</v>
      </c>
    </row>
    <row r="713" spans="1:14">
      <c r="A713" t="s">
        <v>14</v>
      </c>
      <c r="B713" t="str">
        <f>"120712200200"</f>
        <v>120712200200</v>
      </c>
      <c r="C713" t="s">
        <v>1829</v>
      </c>
      <c r="D713" t="s">
        <v>184</v>
      </c>
      <c r="G713" t="s">
        <v>32</v>
      </c>
      <c r="H713" t="s">
        <v>65</v>
      </c>
      <c r="I713" t="s">
        <v>45</v>
      </c>
      <c r="J713" t="s">
        <v>46</v>
      </c>
      <c r="K713" t="s">
        <v>47</v>
      </c>
      <c r="L713" t="s">
        <v>22</v>
      </c>
      <c r="M713" s="1">
        <v>37597</v>
      </c>
      <c r="N713">
        <v>2002</v>
      </c>
    </row>
    <row r="714" spans="1:14">
      <c r="A714" t="s">
        <v>14</v>
      </c>
      <c r="B714" t="str">
        <f>"121707200200"</f>
        <v>121707200200</v>
      </c>
      <c r="C714" t="s">
        <v>1855</v>
      </c>
      <c r="D714" t="s">
        <v>238</v>
      </c>
      <c r="G714" t="s">
        <v>32</v>
      </c>
      <c r="H714" t="s">
        <v>65</v>
      </c>
      <c r="I714" t="s">
        <v>45</v>
      </c>
      <c r="J714" t="s">
        <v>46</v>
      </c>
      <c r="K714" t="s">
        <v>491</v>
      </c>
      <c r="M714" s="1">
        <v>37454</v>
      </c>
      <c r="N714">
        <v>2002</v>
      </c>
    </row>
    <row r="715" spans="1:14">
      <c r="A715" t="s">
        <v>14</v>
      </c>
      <c r="B715" t="str">
        <f>"122602200303"</f>
        <v>122602200303</v>
      </c>
      <c r="C715" t="s">
        <v>1895</v>
      </c>
      <c r="D715" t="s">
        <v>611</v>
      </c>
      <c r="G715" t="s">
        <v>32</v>
      </c>
      <c r="H715" t="s">
        <v>65</v>
      </c>
      <c r="I715" t="s">
        <v>45</v>
      </c>
      <c r="J715" t="s">
        <v>46</v>
      </c>
      <c r="K715" t="s">
        <v>367</v>
      </c>
      <c r="M715" s="1">
        <v>37678</v>
      </c>
      <c r="N715">
        <v>2003</v>
      </c>
    </row>
    <row r="716" spans="1:14">
      <c r="A716" t="s">
        <v>14</v>
      </c>
      <c r="B716" t="str">
        <f>"121502200200"</f>
        <v>121502200200</v>
      </c>
      <c r="C716" t="s">
        <v>1990</v>
      </c>
      <c r="D716" t="s">
        <v>64</v>
      </c>
      <c r="G716" t="s">
        <v>32</v>
      </c>
      <c r="H716" t="s">
        <v>65</v>
      </c>
      <c r="I716" t="s">
        <v>45</v>
      </c>
      <c r="J716" t="s">
        <v>46</v>
      </c>
      <c r="K716" t="s">
        <v>47</v>
      </c>
      <c r="L716" t="s">
        <v>22</v>
      </c>
      <c r="M716" s="1">
        <v>37302</v>
      </c>
      <c r="N716">
        <v>2002</v>
      </c>
    </row>
    <row r="717" spans="1:14">
      <c r="A717" t="s">
        <v>14</v>
      </c>
      <c r="B717" t="str">
        <f>"120609200200"</f>
        <v>120609200200</v>
      </c>
      <c r="C717" t="s">
        <v>2046</v>
      </c>
      <c r="D717" t="s">
        <v>184</v>
      </c>
      <c r="G717" t="s">
        <v>32</v>
      </c>
      <c r="H717" t="s">
        <v>65</v>
      </c>
      <c r="I717" t="s">
        <v>45</v>
      </c>
      <c r="J717" t="s">
        <v>46</v>
      </c>
      <c r="K717" t="s">
        <v>47</v>
      </c>
      <c r="L717" t="s">
        <v>22</v>
      </c>
      <c r="M717" s="1">
        <v>37505</v>
      </c>
      <c r="N717">
        <v>2002</v>
      </c>
    </row>
    <row r="718" spans="1:14">
      <c r="A718" t="s">
        <v>14</v>
      </c>
      <c r="B718" t="str">
        <f>"122806200200"</f>
        <v>122806200200</v>
      </c>
      <c r="C718" t="s">
        <v>2063</v>
      </c>
      <c r="D718" t="s">
        <v>178</v>
      </c>
      <c r="G718" t="s">
        <v>32</v>
      </c>
      <c r="H718" t="s">
        <v>65</v>
      </c>
      <c r="I718" t="s">
        <v>45</v>
      </c>
      <c r="J718" t="s">
        <v>46</v>
      </c>
      <c r="K718" t="s">
        <v>47</v>
      </c>
      <c r="L718" t="s">
        <v>63</v>
      </c>
      <c r="M718" s="1">
        <v>37435</v>
      </c>
      <c r="N718">
        <v>2002</v>
      </c>
    </row>
    <row r="719" spans="1:14">
      <c r="A719" t="s">
        <v>14</v>
      </c>
      <c r="B719" t="str">
        <f>"122909200200"</f>
        <v>122909200200</v>
      </c>
      <c r="C719" t="s">
        <v>2089</v>
      </c>
      <c r="D719" t="s">
        <v>194</v>
      </c>
      <c r="G719" t="s">
        <v>32</v>
      </c>
      <c r="H719" t="s">
        <v>65</v>
      </c>
      <c r="I719" t="s">
        <v>45</v>
      </c>
      <c r="J719" t="s">
        <v>46</v>
      </c>
      <c r="K719" t="s">
        <v>491</v>
      </c>
      <c r="M719" s="1">
        <v>37528</v>
      </c>
      <c r="N719">
        <v>2002</v>
      </c>
    </row>
    <row r="720" spans="1:14">
      <c r="A720" t="s">
        <v>14</v>
      </c>
      <c r="B720" t="str">
        <f>"120509200200"</f>
        <v>120509200200</v>
      </c>
      <c r="C720" t="s">
        <v>2246</v>
      </c>
      <c r="D720" t="s">
        <v>510</v>
      </c>
      <c r="G720" t="s">
        <v>32</v>
      </c>
      <c r="H720" t="s">
        <v>65</v>
      </c>
      <c r="I720" t="s">
        <v>45</v>
      </c>
      <c r="J720" t="s">
        <v>46</v>
      </c>
      <c r="K720" t="s">
        <v>946</v>
      </c>
      <c r="M720" s="1">
        <v>37504</v>
      </c>
      <c r="N720">
        <v>2002</v>
      </c>
    </row>
    <row r="721" spans="1:14">
      <c r="A721" t="s">
        <v>14</v>
      </c>
      <c r="B721" t="str">
        <f>"121601200300"</f>
        <v>121601200300</v>
      </c>
      <c r="C721" t="s">
        <v>2413</v>
      </c>
      <c r="D721" t="s">
        <v>205</v>
      </c>
      <c r="G721" t="s">
        <v>32</v>
      </c>
      <c r="H721" t="s">
        <v>65</v>
      </c>
      <c r="I721" t="s">
        <v>45</v>
      </c>
      <c r="J721" t="s">
        <v>46</v>
      </c>
      <c r="K721" t="s">
        <v>179</v>
      </c>
      <c r="L721" t="s">
        <v>22</v>
      </c>
      <c r="M721" s="1">
        <v>37637</v>
      </c>
      <c r="N721">
        <v>2003</v>
      </c>
    </row>
    <row r="722" spans="1:14">
      <c r="A722" t="s">
        <v>14</v>
      </c>
      <c r="B722" t="str">
        <f>"122805200300"</f>
        <v>122805200300</v>
      </c>
      <c r="C722" t="s">
        <v>2483</v>
      </c>
      <c r="D722" t="s">
        <v>234</v>
      </c>
      <c r="G722" t="s">
        <v>32</v>
      </c>
      <c r="H722" t="s">
        <v>65</v>
      </c>
      <c r="I722" t="s">
        <v>45</v>
      </c>
      <c r="J722" t="s">
        <v>46</v>
      </c>
      <c r="K722" t="s">
        <v>491</v>
      </c>
      <c r="M722" s="1">
        <v>37769</v>
      </c>
      <c r="N722">
        <v>2003</v>
      </c>
    </row>
    <row r="723" spans="1:14">
      <c r="A723" t="s">
        <v>14</v>
      </c>
      <c r="B723" t="str">
        <f>"120502200300"</f>
        <v>120502200300</v>
      </c>
      <c r="C723" t="s">
        <v>2544</v>
      </c>
      <c r="D723" t="s">
        <v>127</v>
      </c>
      <c r="G723" t="s">
        <v>32</v>
      </c>
      <c r="H723" t="s">
        <v>65</v>
      </c>
      <c r="I723" t="s">
        <v>45</v>
      </c>
      <c r="J723" t="s">
        <v>46</v>
      </c>
      <c r="K723" t="s">
        <v>179</v>
      </c>
      <c r="M723" s="1">
        <v>37657</v>
      </c>
      <c r="N723">
        <v>2003</v>
      </c>
    </row>
    <row r="724" spans="1:14">
      <c r="A724" t="s">
        <v>14</v>
      </c>
      <c r="B724" t="str">
        <f>"122308200200"</f>
        <v>122308200200</v>
      </c>
      <c r="C724" t="s">
        <v>2569</v>
      </c>
      <c r="D724" t="s">
        <v>178</v>
      </c>
      <c r="G724" t="s">
        <v>32</v>
      </c>
      <c r="H724" t="s">
        <v>65</v>
      </c>
      <c r="I724" t="s">
        <v>45</v>
      </c>
      <c r="J724" t="s">
        <v>46</v>
      </c>
      <c r="K724" t="s">
        <v>230</v>
      </c>
      <c r="L724" t="s">
        <v>63</v>
      </c>
      <c r="M724" s="1">
        <v>37491</v>
      </c>
      <c r="N724">
        <v>2002</v>
      </c>
    </row>
    <row r="725" spans="1:14">
      <c r="A725" t="s">
        <v>14</v>
      </c>
      <c r="B725" t="str">
        <f>"120708199801"</f>
        <v>120708199801</v>
      </c>
      <c r="C725" t="s">
        <v>828</v>
      </c>
      <c r="D725" t="s">
        <v>541</v>
      </c>
      <c r="G725" t="s">
        <v>32</v>
      </c>
      <c r="H725" t="s">
        <v>59</v>
      </c>
      <c r="I725" t="s">
        <v>45</v>
      </c>
      <c r="J725" t="s">
        <v>46</v>
      </c>
      <c r="K725" t="s">
        <v>829</v>
      </c>
      <c r="L725" t="s">
        <v>63</v>
      </c>
      <c r="M725" s="1">
        <v>36014</v>
      </c>
      <c r="N725">
        <v>1998</v>
      </c>
    </row>
    <row r="726" spans="1:14">
      <c r="A726" t="s">
        <v>14</v>
      </c>
      <c r="B726" t="str">
        <f>"122802199800"</f>
        <v>122802199800</v>
      </c>
      <c r="C726" t="s">
        <v>1011</v>
      </c>
      <c r="D726" t="s">
        <v>233</v>
      </c>
      <c r="G726" t="s">
        <v>32</v>
      </c>
      <c r="H726" t="s">
        <v>59</v>
      </c>
      <c r="I726" t="s">
        <v>45</v>
      </c>
      <c r="J726" t="s">
        <v>46</v>
      </c>
      <c r="K726" t="s">
        <v>829</v>
      </c>
      <c r="L726" t="s">
        <v>63</v>
      </c>
      <c r="M726" s="1">
        <v>35854</v>
      </c>
      <c r="N726">
        <v>1998</v>
      </c>
    </row>
    <row r="727" spans="1:14">
      <c r="A727" t="s">
        <v>14</v>
      </c>
      <c r="B727" t="str">
        <f>"121301198500"</f>
        <v>121301198500</v>
      </c>
      <c r="C727" t="s">
        <v>1107</v>
      </c>
      <c r="D727" t="s">
        <v>184</v>
      </c>
      <c r="G727" t="s">
        <v>32</v>
      </c>
      <c r="H727" t="s">
        <v>59</v>
      </c>
      <c r="I727" t="s">
        <v>45</v>
      </c>
      <c r="J727" t="s">
        <v>46</v>
      </c>
      <c r="K727" t="s">
        <v>1108</v>
      </c>
      <c r="L727" t="s">
        <v>22</v>
      </c>
      <c r="M727" s="1">
        <v>31060</v>
      </c>
      <c r="N727">
        <v>1985</v>
      </c>
    </row>
    <row r="728" spans="1:14">
      <c r="A728" t="s">
        <v>14</v>
      </c>
      <c r="B728" t="str">
        <f>"122101199801"</f>
        <v>122101199801</v>
      </c>
      <c r="C728" t="s">
        <v>1146</v>
      </c>
      <c r="D728" t="s">
        <v>127</v>
      </c>
      <c r="G728" t="s">
        <v>32</v>
      </c>
      <c r="H728" t="s">
        <v>59</v>
      </c>
      <c r="I728" t="s">
        <v>45</v>
      </c>
      <c r="J728" t="s">
        <v>46</v>
      </c>
      <c r="K728" t="s">
        <v>47</v>
      </c>
      <c r="L728" t="s">
        <v>63</v>
      </c>
      <c r="M728" s="1">
        <v>35816</v>
      </c>
      <c r="N728">
        <v>1998</v>
      </c>
    </row>
    <row r="729" spans="1:14">
      <c r="A729" t="s">
        <v>14</v>
      </c>
      <c r="B729" t="str">
        <f>"120311199201"</f>
        <v>120311199201</v>
      </c>
      <c r="C729" t="s">
        <v>1478</v>
      </c>
      <c r="D729" t="s">
        <v>184</v>
      </c>
      <c r="G729" t="s">
        <v>32</v>
      </c>
      <c r="H729" t="s">
        <v>59</v>
      </c>
      <c r="I729" t="s">
        <v>45</v>
      </c>
      <c r="J729" t="s">
        <v>46</v>
      </c>
      <c r="K729" t="s">
        <v>179</v>
      </c>
      <c r="L729" t="s">
        <v>63</v>
      </c>
      <c r="M729" s="1">
        <v>33911</v>
      </c>
      <c r="N729">
        <v>1992</v>
      </c>
    </row>
    <row r="730" spans="1:14">
      <c r="A730" t="s">
        <v>14</v>
      </c>
      <c r="B730" t="str">
        <f>"120603199801"</f>
        <v>120603199801</v>
      </c>
      <c r="C730" t="s">
        <v>1479</v>
      </c>
      <c r="D730" t="s">
        <v>551</v>
      </c>
      <c r="G730" t="s">
        <v>32</v>
      </c>
      <c r="H730" t="s">
        <v>59</v>
      </c>
      <c r="I730" t="s">
        <v>45</v>
      </c>
      <c r="J730" t="s">
        <v>46</v>
      </c>
      <c r="K730" t="s">
        <v>1480</v>
      </c>
      <c r="L730" t="s">
        <v>63</v>
      </c>
      <c r="M730" s="1">
        <v>35860</v>
      </c>
      <c r="N730">
        <v>1998</v>
      </c>
    </row>
    <row r="731" spans="1:14">
      <c r="A731" t="s">
        <v>14</v>
      </c>
      <c r="B731" t="str">
        <f>"121906199800"</f>
        <v>121906199800</v>
      </c>
      <c r="C731" t="s">
        <v>1608</v>
      </c>
      <c r="D731" t="s">
        <v>233</v>
      </c>
      <c r="G731" t="s">
        <v>32</v>
      </c>
      <c r="H731" t="s">
        <v>59</v>
      </c>
      <c r="I731" t="s">
        <v>45</v>
      </c>
      <c r="J731" t="s">
        <v>46</v>
      </c>
      <c r="K731" t="s">
        <v>47</v>
      </c>
      <c r="L731" t="s">
        <v>63</v>
      </c>
      <c r="M731" s="1">
        <v>35965</v>
      </c>
      <c r="N731">
        <v>1998</v>
      </c>
    </row>
    <row r="732" spans="1:14">
      <c r="A732" t="s">
        <v>14</v>
      </c>
      <c r="B732" t="str">
        <f>"120601199300"</f>
        <v>120601199300</v>
      </c>
      <c r="C732" t="s">
        <v>1703</v>
      </c>
      <c r="D732" t="s">
        <v>551</v>
      </c>
      <c r="G732" t="s">
        <v>32</v>
      </c>
      <c r="H732" t="s">
        <v>59</v>
      </c>
      <c r="I732" t="s">
        <v>45</v>
      </c>
      <c r="J732" t="s">
        <v>46</v>
      </c>
      <c r="K732" t="s">
        <v>367</v>
      </c>
      <c r="L732" t="s">
        <v>48</v>
      </c>
      <c r="M732" s="1">
        <v>33975</v>
      </c>
      <c r="N732">
        <v>1993</v>
      </c>
    </row>
    <row r="733" spans="1:14">
      <c r="A733" t="s">
        <v>14</v>
      </c>
      <c r="B733" t="str">
        <f>"120202199700"</f>
        <v>120202199700</v>
      </c>
      <c r="C733" t="s">
        <v>1864</v>
      </c>
      <c r="D733" t="s">
        <v>31</v>
      </c>
      <c r="G733" t="s">
        <v>32</v>
      </c>
      <c r="H733" t="s">
        <v>59</v>
      </c>
      <c r="I733" t="s">
        <v>45</v>
      </c>
      <c r="J733" t="s">
        <v>46</v>
      </c>
      <c r="K733" t="s">
        <v>1480</v>
      </c>
      <c r="L733" t="s">
        <v>63</v>
      </c>
      <c r="M733" s="1">
        <v>35463</v>
      </c>
      <c r="N733">
        <v>1997</v>
      </c>
    </row>
    <row r="734" spans="1:14">
      <c r="A734" t="s">
        <v>14</v>
      </c>
      <c r="B734" t="str">
        <f>"122912199700"</f>
        <v>122912199700</v>
      </c>
      <c r="C734" t="s">
        <v>2835</v>
      </c>
      <c r="D734" t="s">
        <v>203</v>
      </c>
      <c r="G734" t="s">
        <v>32</v>
      </c>
      <c r="H734" t="s">
        <v>59</v>
      </c>
      <c r="I734" t="s">
        <v>45</v>
      </c>
      <c r="J734" t="s">
        <v>46</v>
      </c>
      <c r="K734" t="s">
        <v>179</v>
      </c>
      <c r="L734" t="s">
        <v>48</v>
      </c>
      <c r="M734" s="1">
        <v>35793</v>
      </c>
      <c r="N734">
        <v>1997</v>
      </c>
    </row>
    <row r="735" spans="1:14">
      <c r="A735" t="s">
        <v>14</v>
      </c>
      <c r="B735" t="str">
        <f>"121801200001"</f>
        <v>121801200001</v>
      </c>
      <c r="C735" t="s">
        <v>43</v>
      </c>
      <c r="D735" t="s">
        <v>31</v>
      </c>
      <c r="G735" t="s">
        <v>32</v>
      </c>
      <c r="H735" t="s">
        <v>44</v>
      </c>
      <c r="I735" t="s">
        <v>45</v>
      </c>
      <c r="J735" t="s">
        <v>46</v>
      </c>
      <c r="K735" t="s">
        <v>47</v>
      </c>
      <c r="L735" t="s">
        <v>48</v>
      </c>
      <c r="M735" s="1">
        <v>36543</v>
      </c>
      <c r="N735">
        <v>2000</v>
      </c>
    </row>
    <row r="736" spans="1:14">
      <c r="A736" t="s">
        <v>14</v>
      </c>
      <c r="B736" t="str">
        <f>"120509200001"</f>
        <v>120509200001</v>
      </c>
      <c r="C736" t="s">
        <v>290</v>
      </c>
      <c r="D736" t="s">
        <v>203</v>
      </c>
      <c r="G736" t="s">
        <v>32</v>
      </c>
      <c r="H736" t="s">
        <v>44</v>
      </c>
      <c r="I736" t="s">
        <v>45</v>
      </c>
      <c r="J736" t="s">
        <v>46</v>
      </c>
      <c r="K736" t="s">
        <v>179</v>
      </c>
      <c r="L736" t="s">
        <v>22</v>
      </c>
      <c r="M736" s="1">
        <v>36774</v>
      </c>
      <c r="N736">
        <v>2000</v>
      </c>
    </row>
    <row r="737" spans="1:14">
      <c r="A737" t="s">
        <v>14</v>
      </c>
      <c r="B737" t="str">
        <f>"120903200001"</f>
        <v>120903200001</v>
      </c>
      <c r="C737" t="s">
        <v>411</v>
      </c>
      <c r="D737" t="s">
        <v>58</v>
      </c>
      <c r="G737" t="s">
        <v>32</v>
      </c>
      <c r="H737" t="s">
        <v>44</v>
      </c>
      <c r="I737" t="s">
        <v>45</v>
      </c>
      <c r="J737" t="s">
        <v>46</v>
      </c>
      <c r="K737" t="s">
        <v>412</v>
      </c>
      <c r="L737" t="s">
        <v>22</v>
      </c>
      <c r="M737" s="1">
        <v>36594</v>
      </c>
      <c r="N737">
        <v>2000</v>
      </c>
    </row>
    <row r="738" spans="1:14">
      <c r="A738" t="s">
        <v>14</v>
      </c>
      <c r="B738" t="str">
        <f>"120602200101"</f>
        <v>120602200101</v>
      </c>
      <c r="C738" t="s">
        <v>526</v>
      </c>
      <c r="D738" t="s">
        <v>203</v>
      </c>
      <c r="G738" t="s">
        <v>32</v>
      </c>
      <c r="H738" t="s">
        <v>44</v>
      </c>
      <c r="I738" t="s">
        <v>45</v>
      </c>
      <c r="J738" t="s">
        <v>46</v>
      </c>
      <c r="K738" t="s">
        <v>47</v>
      </c>
      <c r="L738" t="s">
        <v>63</v>
      </c>
      <c r="M738" s="1">
        <v>36928</v>
      </c>
      <c r="N738">
        <v>2001</v>
      </c>
    </row>
    <row r="739" spans="1:14">
      <c r="A739" t="s">
        <v>14</v>
      </c>
      <c r="B739" t="str">
        <f>"122210200100"</f>
        <v>122210200100</v>
      </c>
      <c r="C739" t="s">
        <v>678</v>
      </c>
      <c r="D739" t="s">
        <v>263</v>
      </c>
      <c r="G739" t="s">
        <v>32</v>
      </c>
      <c r="H739" t="s">
        <v>44</v>
      </c>
      <c r="I739" t="s">
        <v>45</v>
      </c>
      <c r="J739" t="s">
        <v>46</v>
      </c>
      <c r="K739" t="s">
        <v>47</v>
      </c>
      <c r="L739" t="s">
        <v>48</v>
      </c>
      <c r="M739" s="1">
        <v>37186</v>
      </c>
      <c r="N739">
        <v>2001</v>
      </c>
    </row>
    <row r="740" spans="1:14">
      <c r="A740" t="s">
        <v>14</v>
      </c>
      <c r="B740" t="str">
        <f>"122708199900"</f>
        <v>122708199900</v>
      </c>
      <c r="C740" t="s">
        <v>837</v>
      </c>
      <c r="D740" t="s">
        <v>127</v>
      </c>
      <c r="G740" t="s">
        <v>32</v>
      </c>
      <c r="H740" t="s">
        <v>44</v>
      </c>
      <c r="I740" t="s">
        <v>45</v>
      </c>
      <c r="J740" t="s">
        <v>46</v>
      </c>
      <c r="K740" t="s">
        <v>47</v>
      </c>
      <c r="L740" t="s">
        <v>48</v>
      </c>
      <c r="M740" s="1">
        <v>36399</v>
      </c>
      <c r="N740">
        <v>1999</v>
      </c>
    </row>
    <row r="741" spans="1:14">
      <c r="A741" t="s">
        <v>14</v>
      </c>
      <c r="B741" t="str">
        <f>"121406200000"</f>
        <v>121406200000</v>
      </c>
      <c r="C741" t="s">
        <v>1104</v>
      </c>
      <c r="D741" t="s">
        <v>233</v>
      </c>
      <c r="G741" t="s">
        <v>32</v>
      </c>
      <c r="H741" t="s">
        <v>44</v>
      </c>
      <c r="I741" t="s">
        <v>45</v>
      </c>
      <c r="J741" t="s">
        <v>46</v>
      </c>
      <c r="K741" t="s">
        <v>491</v>
      </c>
      <c r="L741" t="s">
        <v>22</v>
      </c>
      <c r="M741" s="1">
        <v>36691</v>
      </c>
      <c r="N741">
        <v>2000</v>
      </c>
    </row>
    <row r="742" spans="1:14">
      <c r="A742" t="s">
        <v>14</v>
      </c>
      <c r="B742" t="str">
        <f>"121612200001"</f>
        <v>121612200001</v>
      </c>
      <c r="C742" t="s">
        <v>1208</v>
      </c>
      <c r="D742" t="s">
        <v>611</v>
      </c>
      <c r="G742" t="s">
        <v>32</v>
      </c>
      <c r="H742" t="s">
        <v>44</v>
      </c>
      <c r="I742" t="s">
        <v>45</v>
      </c>
      <c r="J742" t="s">
        <v>46</v>
      </c>
      <c r="K742" t="s">
        <v>422</v>
      </c>
      <c r="M742" s="1">
        <v>36876</v>
      </c>
      <c r="N742">
        <v>2000</v>
      </c>
    </row>
    <row r="743" spans="1:14">
      <c r="A743" t="s">
        <v>14</v>
      </c>
      <c r="B743" t="str">
        <f>"120103199900"</f>
        <v>120103199900</v>
      </c>
      <c r="C743" t="s">
        <v>1355</v>
      </c>
      <c r="D743" t="s">
        <v>970</v>
      </c>
      <c r="G743" t="s">
        <v>32</v>
      </c>
      <c r="H743" t="s">
        <v>44</v>
      </c>
      <c r="I743" t="s">
        <v>45</v>
      </c>
      <c r="J743" t="s">
        <v>46</v>
      </c>
      <c r="K743" t="s">
        <v>47</v>
      </c>
      <c r="L743" t="s">
        <v>22</v>
      </c>
      <c r="M743" s="1">
        <v>36220</v>
      </c>
      <c r="N743">
        <v>1999</v>
      </c>
    </row>
    <row r="744" spans="1:14">
      <c r="A744" t="s">
        <v>14</v>
      </c>
      <c r="B744" t="str">
        <f>"122106200100"</f>
        <v>122106200100</v>
      </c>
      <c r="C744" t="s">
        <v>1609</v>
      </c>
      <c r="D744" t="s">
        <v>178</v>
      </c>
      <c r="G744" t="s">
        <v>32</v>
      </c>
      <c r="H744" t="s">
        <v>44</v>
      </c>
      <c r="I744" t="s">
        <v>45</v>
      </c>
      <c r="J744" t="s">
        <v>46</v>
      </c>
      <c r="K744" t="s">
        <v>47</v>
      </c>
      <c r="L744" t="s">
        <v>48</v>
      </c>
      <c r="M744" s="1">
        <v>37063</v>
      </c>
      <c r="N744">
        <v>2001</v>
      </c>
    </row>
    <row r="745" spans="1:14">
      <c r="A745" t="s">
        <v>14</v>
      </c>
      <c r="B745" t="str">
        <f>"121303200100"</f>
        <v>121303200100</v>
      </c>
      <c r="C745" t="s">
        <v>1686</v>
      </c>
      <c r="D745" t="s">
        <v>143</v>
      </c>
      <c r="G745" t="s">
        <v>32</v>
      </c>
      <c r="H745" t="s">
        <v>44</v>
      </c>
      <c r="I745" t="s">
        <v>45</v>
      </c>
      <c r="J745" t="s">
        <v>46</v>
      </c>
      <c r="K745" t="s">
        <v>412</v>
      </c>
      <c r="L745" t="s">
        <v>22</v>
      </c>
      <c r="M745" s="1">
        <v>36963</v>
      </c>
      <c r="N745">
        <v>2001</v>
      </c>
    </row>
    <row r="746" spans="1:14">
      <c r="A746" t="s">
        <v>14</v>
      </c>
      <c r="B746" t="str">
        <f>"121511200000"</f>
        <v>121511200000</v>
      </c>
      <c r="C746" t="s">
        <v>1741</v>
      </c>
      <c r="D746" t="s">
        <v>233</v>
      </c>
      <c r="G746" t="s">
        <v>32</v>
      </c>
      <c r="H746" t="s">
        <v>44</v>
      </c>
      <c r="I746" t="s">
        <v>45</v>
      </c>
      <c r="J746" t="s">
        <v>46</v>
      </c>
      <c r="K746" t="s">
        <v>491</v>
      </c>
      <c r="L746" t="s">
        <v>22</v>
      </c>
      <c r="M746" s="1">
        <v>36845</v>
      </c>
      <c r="N746">
        <v>2000</v>
      </c>
    </row>
    <row r="747" spans="1:14">
      <c r="A747" t="s">
        <v>14</v>
      </c>
      <c r="B747" t="str">
        <f>"122305199900"</f>
        <v>122305199900</v>
      </c>
      <c r="C747" t="s">
        <v>1755</v>
      </c>
      <c r="D747" t="s">
        <v>127</v>
      </c>
      <c r="G747" t="s">
        <v>32</v>
      </c>
      <c r="H747" t="s">
        <v>44</v>
      </c>
      <c r="I747" t="s">
        <v>45</v>
      </c>
      <c r="J747" t="s">
        <v>46</v>
      </c>
      <c r="K747" t="s">
        <v>47</v>
      </c>
      <c r="L747" t="s">
        <v>22</v>
      </c>
      <c r="M747" s="1">
        <v>36303</v>
      </c>
      <c r="N747">
        <v>1999</v>
      </c>
    </row>
    <row r="748" spans="1:14">
      <c r="A748" t="s">
        <v>14</v>
      </c>
      <c r="B748" t="str">
        <f>"120603200100"</f>
        <v>120603200100</v>
      </c>
      <c r="C748" t="s">
        <v>1877</v>
      </c>
      <c r="D748" t="s">
        <v>235</v>
      </c>
      <c r="G748" t="s">
        <v>32</v>
      </c>
      <c r="H748" t="s">
        <v>44</v>
      </c>
      <c r="I748" t="s">
        <v>45</v>
      </c>
      <c r="J748" t="s">
        <v>46</v>
      </c>
      <c r="K748" t="s">
        <v>946</v>
      </c>
      <c r="L748" t="s">
        <v>63</v>
      </c>
      <c r="M748" s="1">
        <v>36956</v>
      </c>
      <c r="N748">
        <v>2001</v>
      </c>
    </row>
    <row r="749" spans="1:14">
      <c r="A749" t="s">
        <v>14</v>
      </c>
      <c r="B749" t="str">
        <f>"122312200000"</f>
        <v>122312200000</v>
      </c>
      <c r="C749" t="s">
        <v>2263</v>
      </c>
      <c r="D749" t="s">
        <v>1050</v>
      </c>
      <c r="G749" t="s">
        <v>32</v>
      </c>
      <c r="H749" t="s">
        <v>44</v>
      </c>
      <c r="I749" t="s">
        <v>45</v>
      </c>
      <c r="J749" t="s">
        <v>46</v>
      </c>
      <c r="K749" t="s">
        <v>1081</v>
      </c>
      <c r="L749" t="s">
        <v>63</v>
      </c>
      <c r="M749" s="1">
        <v>36883</v>
      </c>
      <c r="N749">
        <v>2000</v>
      </c>
    </row>
    <row r="750" spans="1:14">
      <c r="A750" t="s">
        <v>14</v>
      </c>
      <c r="B750" t="str">
        <f>"121403199900"</f>
        <v>121403199900</v>
      </c>
      <c r="C750" t="s">
        <v>2323</v>
      </c>
      <c r="D750" t="s">
        <v>429</v>
      </c>
      <c r="G750" t="s">
        <v>32</v>
      </c>
      <c r="H750" t="s">
        <v>44</v>
      </c>
      <c r="I750" t="s">
        <v>45</v>
      </c>
      <c r="J750" t="s">
        <v>46</v>
      </c>
      <c r="K750" t="s">
        <v>1081</v>
      </c>
      <c r="L750" t="s">
        <v>63</v>
      </c>
      <c r="M750" s="1">
        <v>36233</v>
      </c>
      <c r="N750">
        <v>1999</v>
      </c>
    </row>
    <row r="751" spans="1:14">
      <c r="A751" t="s">
        <v>14</v>
      </c>
      <c r="B751" t="str">
        <f>"121801200000"</f>
        <v>121801200000</v>
      </c>
      <c r="C751" t="s">
        <v>2352</v>
      </c>
      <c r="D751" t="s">
        <v>205</v>
      </c>
      <c r="G751" t="s">
        <v>32</v>
      </c>
      <c r="H751" t="s">
        <v>44</v>
      </c>
      <c r="I751" t="s">
        <v>45</v>
      </c>
      <c r="J751" t="s">
        <v>46</v>
      </c>
      <c r="K751" t="s">
        <v>602</v>
      </c>
      <c r="L751" t="s">
        <v>63</v>
      </c>
      <c r="M751" s="1">
        <v>36543</v>
      </c>
      <c r="N751">
        <v>2000</v>
      </c>
    </row>
    <row r="752" spans="1:14">
      <c r="A752" t="s">
        <v>14</v>
      </c>
      <c r="B752" t="str">
        <f>"121202200100"</f>
        <v>121202200100</v>
      </c>
      <c r="C752" t="s">
        <v>2386</v>
      </c>
      <c r="D752" t="s">
        <v>232</v>
      </c>
      <c r="G752" t="s">
        <v>32</v>
      </c>
      <c r="H752" t="s">
        <v>44</v>
      </c>
      <c r="I752" t="s">
        <v>45</v>
      </c>
      <c r="J752" t="s">
        <v>46</v>
      </c>
      <c r="K752" t="s">
        <v>946</v>
      </c>
      <c r="L752" t="s">
        <v>22</v>
      </c>
      <c r="M752" s="1">
        <v>36934</v>
      </c>
      <c r="N752">
        <v>2001</v>
      </c>
    </row>
    <row r="753" spans="1:14">
      <c r="A753" t="s">
        <v>14</v>
      </c>
      <c r="B753" t="str">
        <f>"122706200100"</f>
        <v>122706200100</v>
      </c>
      <c r="C753" t="s">
        <v>2488</v>
      </c>
      <c r="D753" t="s">
        <v>493</v>
      </c>
      <c r="G753" t="s">
        <v>32</v>
      </c>
      <c r="H753" t="s">
        <v>44</v>
      </c>
      <c r="I753" t="s">
        <v>45</v>
      </c>
      <c r="J753" t="s">
        <v>46</v>
      </c>
      <c r="K753" t="s">
        <v>47</v>
      </c>
      <c r="M753" s="1">
        <v>37069</v>
      </c>
      <c r="N753">
        <v>2001</v>
      </c>
    </row>
    <row r="754" spans="1:14">
      <c r="A754" t="s">
        <v>14</v>
      </c>
      <c r="B754" t="str">
        <f>"121408200100"</f>
        <v>121408200100</v>
      </c>
      <c r="C754" t="s">
        <v>2901</v>
      </c>
      <c r="D754" t="s">
        <v>233</v>
      </c>
      <c r="G754" t="s">
        <v>32</v>
      </c>
      <c r="H754" t="s">
        <v>44</v>
      </c>
      <c r="I754" t="s">
        <v>45</v>
      </c>
      <c r="J754" t="s">
        <v>46</v>
      </c>
      <c r="K754" t="s">
        <v>2464</v>
      </c>
      <c r="L754" t="s">
        <v>22</v>
      </c>
      <c r="M754" s="1">
        <v>37117</v>
      </c>
      <c r="N754">
        <v>2001</v>
      </c>
    </row>
    <row r="755" spans="1:14">
      <c r="A755" t="s">
        <v>14</v>
      </c>
      <c r="B755" t="str">
        <f>"112107199801"</f>
        <v>112107199801</v>
      </c>
      <c r="C755" t="s">
        <v>806</v>
      </c>
      <c r="D755" t="s">
        <v>807</v>
      </c>
      <c r="G755" t="s">
        <v>17</v>
      </c>
      <c r="H755" t="s">
        <v>25</v>
      </c>
      <c r="I755" t="s">
        <v>45</v>
      </c>
      <c r="J755" t="s">
        <v>46</v>
      </c>
      <c r="K755" t="s">
        <v>412</v>
      </c>
      <c r="L755" t="s">
        <v>22</v>
      </c>
      <c r="M755" s="1">
        <v>35997</v>
      </c>
      <c r="N755">
        <v>1998</v>
      </c>
    </row>
    <row r="756" spans="1:14">
      <c r="A756" t="s">
        <v>14</v>
      </c>
      <c r="B756" t="str">
        <f>"112704199100"</f>
        <v>112704199100</v>
      </c>
      <c r="C756" t="s">
        <v>988</v>
      </c>
      <c r="D756" t="s">
        <v>115</v>
      </c>
      <c r="G756" t="s">
        <v>17</v>
      </c>
      <c r="H756" t="s">
        <v>25</v>
      </c>
      <c r="I756" t="s">
        <v>45</v>
      </c>
      <c r="J756" t="s">
        <v>46</v>
      </c>
      <c r="K756" t="s">
        <v>491</v>
      </c>
      <c r="L756" t="s">
        <v>63</v>
      </c>
      <c r="M756" s="1">
        <v>33355</v>
      </c>
      <c r="N756">
        <v>1991</v>
      </c>
    </row>
    <row r="757" spans="1:14">
      <c r="A757" t="s">
        <v>14</v>
      </c>
      <c r="B757" t="str">
        <f>"110602199800"</f>
        <v>110602199800</v>
      </c>
      <c r="C757" t="s">
        <v>1170</v>
      </c>
      <c r="D757" t="s">
        <v>259</v>
      </c>
      <c r="G757" t="s">
        <v>17</v>
      </c>
      <c r="H757" t="s">
        <v>25</v>
      </c>
      <c r="I757" t="s">
        <v>45</v>
      </c>
      <c r="J757" t="s">
        <v>46</v>
      </c>
      <c r="K757" t="s">
        <v>367</v>
      </c>
      <c r="L757" t="s">
        <v>63</v>
      </c>
      <c r="M757" s="1">
        <v>35832</v>
      </c>
      <c r="N757">
        <v>1998</v>
      </c>
    </row>
    <row r="758" spans="1:14">
      <c r="A758" t="s">
        <v>14</v>
      </c>
      <c r="B758" t="str">
        <f>"112901199301"</f>
        <v>112901199301</v>
      </c>
      <c r="C758" t="s">
        <v>2111</v>
      </c>
      <c r="D758" t="s">
        <v>431</v>
      </c>
      <c r="G758" t="s">
        <v>17</v>
      </c>
      <c r="H758" t="s">
        <v>25</v>
      </c>
      <c r="I758" t="s">
        <v>45</v>
      </c>
      <c r="J758" t="s">
        <v>46</v>
      </c>
      <c r="K758" t="s">
        <v>829</v>
      </c>
      <c r="L758" t="s">
        <v>48</v>
      </c>
      <c r="M758" s="1">
        <v>33998</v>
      </c>
      <c r="N758">
        <v>1993</v>
      </c>
    </row>
    <row r="759" spans="1:14">
      <c r="A759" t="s">
        <v>14</v>
      </c>
      <c r="B759" t="str">
        <f>"110912197400"</f>
        <v>110912197400</v>
      </c>
      <c r="C759" t="s">
        <v>2282</v>
      </c>
      <c r="D759" t="s">
        <v>115</v>
      </c>
      <c r="G759" t="s">
        <v>17</v>
      </c>
      <c r="H759" t="s">
        <v>25</v>
      </c>
      <c r="I759" t="s">
        <v>45</v>
      </c>
      <c r="J759" t="s">
        <v>46</v>
      </c>
      <c r="K759" t="s">
        <v>2283</v>
      </c>
      <c r="L759" t="s">
        <v>22</v>
      </c>
      <c r="M759" s="1">
        <v>27372</v>
      </c>
      <c r="N759">
        <v>1974</v>
      </c>
    </row>
    <row r="760" spans="1:14">
      <c r="A760" t="s">
        <v>14</v>
      </c>
      <c r="B760" t="str">
        <f>"111104199801"</f>
        <v>111104199801</v>
      </c>
      <c r="C760" t="s">
        <v>2410</v>
      </c>
      <c r="D760" t="s">
        <v>292</v>
      </c>
      <c r="G760" t="s">
        <v>17</v>
      </c>
      <c r="H760" t="s">
        <v>25</v>
      </c>
      <c r="I760" t="s">
        <v>45</v>
      </c>
      <c r="J760" t="s">
        <v>46</v>
      </c>
      <c r="K760" t="s">
        <v>47</v>
      </c>
      <c r="L760" t="s">
        <v>63</v>
      </c>
      <c r="M760" s="1">
        <v>35896</v>
      </c>
      <c r="N760">
        <v>1998</v>
      </c>
    </row>
    <row r="761" spans="1:14">
      <c r="A761" t="s">
        <v>14</v>
      </c>
      <c r="B761" t="str">
        <f>"112702199601"</f>
        <v>112702199601</v>
      </c>
      <c r="C761" t="s">
        <v>2463</v>
      </c>
      <c r="D761" t="s">
        <v>259</v>
      </c>
      <c r="G761" t="s">
        <v>17</v>
      </c>
      <c r="H761" t="s">
        <v>25</v>
      </c>
      <c r="I761" t="s">
        <v>45</v>
      </c>
      <c r="J761" t="s">
        <v>46</v>
      </c>
      <c r="K761" t="s">
        <v>2464</v>
      </c>
      <c r="L761" t="s">
        <v>48</v>
      </c>
      <c r="M761" s="1">
        <v>35122</v>
      </c>
      <c r="N761">
        <v>1996</v>
      </c>
    </row>
    <row r="762" spans="1:14">
      <c r="A762" t="s">
        <v>14</v>
      </c>
      <c r="B762" t="str">
        <f>"111504199801"</f>
        <v>111504199801</v>
      </c>
      <c r="C762" t="s">
        <v>2586</v>
      </c>
      <c r="D762" t="s">
        <v>95</v>
      </c>
      <c r="G762" t="s">
        <v>17</v>
      </c>
      <c r="H762" t="s">
        <v>25</v>
      </c>
      <c r="I762" t="s">
        <v>45</v>
      </c>
      <c r="J762" t="s">
        <v>46</v>
      </c>
      <c r="K762" t="s">
        <v>1058</v>
      </c>
      <c r="L762" t="s">
        <v>48</v>
      </c>
      <c r="M762" s="1">
        <v>35900</v>
      </c>
      <c r="N762">
        <v>1998</v>
      </c>
    </row>
    <row r="763" spans="1:14">
      <c r="A763" t="s">
        <v>14</v>
      </c>
      <c r="B763" t="str">
        <f>"111502199700"</f>
        <v>111502199700</v>
      </c>
      <c r="C763" t="s">
        <v>2691</v>
      </c>
      <c r="D763" t="s">
        <v>387</v>
      </c>
      <c r="G763" t="s">
        <v>17</v>
      </c>
      <c r="H763" t="s">
        <v>25</v>
      </c>
      <c r="I763" t="s">
        <v>45</v>
      </c>
      <c r="J763" t="s">
        <v>46</v>
      </c>
      <c r="K763" t="s">
        <v>491</v>
      </c>
      <c r="L763" t="s">
        <v>63</v>
      </c>
      <c r="M763" s="1">
        <v>35476</v>
      </c>
      <c r="N763">
        <v>1997</v>
      </c>
    </row>
    <row r="764" spans="1:14">
      <c r="A764" t="s">
        <v>14</v>
      </c>
      <c r="B764" t="str">
        <f>"110502199701"</f>
        <v>110502199701</v>
      </c>
      <c r="C764" t="s">
        <v>2696</v>
      </c>
      <c r="D764" t="s">
        <v>16</v>
      </c>
      <c r="G764" t="s">
        <v>17</v>
      </c>
      <c r="H764" t="s">
        <v>25</v>
      </c>
      <c r="I764" t="s">
        <v>45</v>
      </c>
      <c r="J764" t="s">
        <v>46</v>
      </c>
      <c r="K764" t="s">
        <v>412</v>
      </c>
      <c r="L764" t="s">
        <v>63</v>
      </c>
      <c r="M764" s="1">
        <v>35466</v>
      </c>
      <c r="N764">
        <v>1997</v>
      </c>
    </row>
    <row r="765" spans="1:14">
      <c r="A765" t="s">
        <v>14</v>
      </c>
      <c r="B765" t="str">
        <f>"111110199801"</f>
        <v>111110199801</v>
      </c>
      <c r="C765" t="s">
        <v>2730</v>
      </c>
      <c r="D765" t="s">
        <v>115</v>
      </c>
      <c r="G765" t="s">
        <v>17</v>
      </c>
      <c r="H765" t="s">
        <v>25</v>
      </c>
      <c r="I765" t="s">
        <v>45</v>
      </c>
      <c r="J765" t="s">
        <v>46</v>
      </c>
      <c r="K765" t="s">
        <v>47</v>
      </c>
      <c r="L765" t="s">
        <v>22</v>
      </c>
      <c r="M765" s="1">
        <v>36079</v>
      </c>
      <c r="N765">
        <v>1998</v>
      </c>
    </row>
    <row r="766" spans="1:14">
      <c r="A766" t="s">
        <v>14</v>
      </c>
      <c r="B766" t="str">
        <f>"110903200001"</f>
        <v>110903200001</v>
      </c>
      <c r="C766" t="s">
        <v>486</v>
      </c>
      <c r="D766" t="s">
        <v>373</v>
      </c>
      <c r="G766" t="s">
        <v>17</v>
      </c>
      <c r="H766" t="s">
        <v>18</v>
      </c>
      <c r="I766" t="s">
        <v>45</v>
      </c>
      <c r="J766" t="s">
        <v>46</v>
      </c>
      <c r="K766" t="s">
        <v>412</v>
      </c>
      <c r="L766" t="s">
        <v>22</v>
      </c>
      <c r="M766" s="1">
        <v>36594</v>
      </c>
      <c r="N766">
        <v>2000</v>
      </c>
    </row>
    <row r="767" spans="1:14">
      <c r="A767" t="s">
        <v>14</v>
      </c>
      <c r="B767" t="str">
        <f>"112011200000"</f>
        <v>112011200000</v>
      </c>
      <c r="C767" t="s">
        <v>489</v>
      </c>
      <c r="D767" t="s">
        <v>70</v>
      </c>
      <c r="G767" t="s">
        <v>17</v>
      </c>
      <c r="H767" t="s">
        <v>18</v>
      </c>
      <c r="I767" t="s">
        <v>45</v>
      </c>
      <c r="J767" t="s">
        <v>46</v>
      </c>
      <c r="K767" t="s">
        <v>491</v>
      </c>
      <c r="L767" t="s">
        <v>22</v>
      </c>
      <c r="M767" s="1">
        <v>36850</v>
      </c>
      <c r="N767">
        <v>2000</v>
      </c>
    </row>
    <row r="768" spans="1:14">
      <c r="A768" t="s">
        <v>14</v>
      </c>
      <c r="B768" t="str">
        <f>"113012200000"</f>
        <v>113012200000</v>
      </c>
      <c r="C768" t="s">
        <v>868</v>
      </c>
      <c r="D768" t="s">
        <v>782</v>
      </c>
      <c r="G768" t="s">
        <v>17</v>
      </c>
      <c r="H768" t="s">
        <v>18</v>
      </c>
      <c r="I768" t="s">
        <v>45</v>
      </c>
      <c r="J768" t="s">
        <v>46</v>
      </c>
      <c r="K768" t="s">
        <v>47</v>
      </c>
      <c r="M768" s="1">
        <v>36890</v>
      </c>
      <c r="N768">
        <v>2000</v>
      </c>
    </row>
    <row r="769" spans="1:14">
      <c r="A769" t="s">
        <v>14</v>
      </c>
      <c r="B769" t="str">
        <f>"111106199902"</f>
        <v>111106199902</v>
      </c>
      <c r="C769" t="s">
        <v>940</v>
      </c>
      <c r="D769" t="s">
        <v>221</v>
      </c>
      <c r="G769" t="s">
        <v>17</v>
      </c>
      <c r="H769" t="s">
        <v>18</v>
      </c>
      <c r="I769" t="s">
        <v>45</v>
      </c>
      <c r="J769" t="s">
        <v>46</v>
      </c>
      <c r="K769" t="s">
        <v>491</v>
      </c>
      <c r="L769" t="s">
        <v>22</v>
      </c>
      <c r="M769" s="1">
        <v>36322</v>
      </c>
      <c r="N769">
        <v>1999</v>
      </c>
    </row>
    <row r="770" spans="1:14">
      <c r="A770" t="s">
        <v>14</v>
      </c>
      <c r="B770" t="str">
        <f>"110908199902"</f>
        <v>110908199902</v>
      </c>
      <c r="C770" t="s">
        <v>945</v>
      </c>
      <c r="D770" t="s">
        <v>70</v>
      </c>
      <c r="G770" t="s">
        <v>17</v>
      </c>
      <c r="H770" t="s">
        <v>18</v>
      </c>
      <c r="I770" t="s">
        <v>45</v>
      </c>
      <c r="J770" t="s">
        <v>46</v>
      </c>
      <c r="K770" t="s">
        <v>946</v>
      </c>
      <c r="L770" t="s">
        <v>22</v>
      </c>
      <c r="M770" s="1">
        <v>36381</v>
      </c>
      <c r="N770">
        <v>1999</v>
      </c>
    </row>
    <row r="771" spans="1:14">
      <c r="A771" t="s">
        <v>14</v>
      </c>
      <c r="B771" t="str">
        <f>"112601200100"</f>
        <v>112601200100</v>
      </c>
      <c r="C771" t="s">
        <v>987</v>
      </c>
      <c r="D771" t="s">
        <v>120</v>
      </c>
      <c r="G771" t="s">
        <v>17</v>
      </c>
      <c r="H771" t="s">
        <v>18</v>
      </c>
      <c r="I771" t="s">
        <v>45</v>
      </c>
      <c r="J771" t="s">
        <v>46</v>
      </c>
      <c r="K771" t="s">
        <v>47</v>
      </c>
      <c r="L771" t="s">
        <v>22</v>
      </c>
      <c r="M771" s="1">
        <v>36917</v>
      </c>
      <c r="N771">
        <v>2001</v>
      </c>
    </row>
    <row r="772" spans="1:14">
      <c r="A772" t="s">
        <v>14</v>
      </c>
      <c r="B772" t="str">
        <f>"111412200000"</f>
        <v>111412200000</v>
      </c>
      <c r="C772" t="s">
        <v>1057</v>
      </c>
      <c r="D772" t="s">
        <v>259</v>
      </c>
      <c r="G772" t="s">
        <v>17</v>
      </c>
      <c r="H772" t="s">
        <v>18</v>
      </c>
      <c r="I772" t="s">
        <v>45</v>
      </c>
      <c r="J772" t="s">
        <v>46</v>
      </c>
      <c r="K772" t="s">
        <v>1058</v>
      </c>
      <c r="L772" t="s">
        <v>63</v>
      </c>
      <c r="M772" s="1">
        <v>36874</v>
      </c>
      <c r="N772">
        <v>2000</v>
      </c>
    </row>
    <row r="773" spans="1:14">
      <c r="A773" t="s">
        <v>14</v>
      </c>
      <c r="B773" t="str">
        <f>"111303200000"</f>
        <v>111303200000</v>
      </c>
      <c r="C773" t="s">
        <v>1140</v>
      </c>
      <c r="D773" t="s">
        <v>50</v>
      </c>
      <c r="G773" t="s">
        <v>17</v>
      </c>
      <c r="H773" t="s">
        <v>18</v>
      </c>
      <c r="I773" t="s">
        <v>45</v>
      </c>
      <c r="J773" t="s">
        <v>46</v>
      </c>
      <c r="K773" t="s">
        <v>47</v>
      </c>
      <c r="M773" s="1">
        <v>36598</v>
      </c>
      <c r="N773">
        <v>2000</v>
      </c>
    </row>
    <row r="774" spans="1:14">
      <c r="A774" t="s">
        <v>14</v>
      </c>
      <c r="B774" t="str">
        <f>"111704200000"</f>
        <v>111704200000</v>
      </c>
      <c r="C774" t="s">
        <v>1436</v>
      </c>
      <c r="D774" t="s">
        <v>53</v>
      </c>
      <c r="G774" t="s">
        <v>17</v>
      </c>
      <c r="H774" t="s">
        <v>18</v>
      </c>
      <c r="I774" t="s">
        <v>45</v>
      </c>
      <c r="J774" t="s">
        <v>46</v>
      </c>
      <c r="K774" t="s">
        <v>491</v>
      </c>
      <c r="M774" s="1">
        <v>36633</v>
      </c>
      <c r="N774">
        <v>2000</v>
      </c>
    </row>
    <row r="775" spans="1:14">
      <c r="A775" t="s">
        <v>14</v>
      </c>
      <c r="B775" t="str">
        <f>"112501200001"</f>
        <v>112501200001</v>
      </c>
      <c r="C775" t="s">
        <v>1678</v>
      </c>
      <c r="D775" t="s">
        <v>115</v>
      </c>
      <c r="G775" t="s">
        <v>17</v>
      </c>
      <c r="H775" t="s">
        <v>18</v>
      </c>
      <c r="I775" t="s">
        <v>45</v>
      </c>
      <c r="J775" t="s">
        <v>46</v>
      </c>
      <c r="K775" t="s">
        <v>1679</v>
      </c>
      <c r="L775" t="s">
        <v>63</v>
      </c>
      <c r="M775" s="1">
        <v>36550</v>
      </c>
      <c r="N775">
        <v>2000</v>
      </c>
    </row>
    <row r="776" spans="1:14">
      <c r="A776" t="s">
        <v>14</v>
      </c>
      <c r="B776" t="str">
        <f>"112004200000"</f>
        <v>112004200000</v>
      </c>
      <c r="C776" t="s">
        <v>1691</v>
      </c>
      <c r="D776" t="s">
        <v>95</v>
      </c>
      <c r="G776" t="s">
        <v>17</v>
      </c>
      <c r="H776" t="s">
        <v>18</v>
      </c>
      <c r="I776" t="s">
        <v>45</v>
      </c>
      <c r="J776" t="s">
        <v>46</v>
      </c>
      <c r="K776" t="s">
        <v>491</v>
      </c>
      <c r="L776" t="s">
        <v>22</v>
      </c>
      <c r="M776" s="1">
        <v>36636</v>
      </c>
      <c r="N776">
        <v>2000</v>
      </c>
    </row>
    <row r="777" spans="1:14">
      <c r="A777" t="s">
        <v>14</v>
      </c>
      <c r="B777" t="str">
        <f>"112609200101"</f>
        <v>112609200101</v>
      </c>
      <c r="C777" t="s">
        <v>1842</v>
      </c>
      <c r="D777" t="s">
        <v>129</v>
      </c>
      <c r="G777" t="s">
        <v>17</v>
      </c>
      <c r="H777" t="s">
        <v>18</v>
      </c>
      <c r="I777" t="s">
        <v>45</v>
      </c>
      <c r="J777" t="s">
        <v>46</v>
      </c>
      <c r="K777" t="s">
        <v>412</v>
      </c>
      <c r="L777" t="s">
        <v>22</v>
      </c>
      <c r="M777" s="1">
        <v>37160</v>
      </c>
      <c r="N777">
        <v>2001</v>
      </c>
    </row>
    <row r="778" spans="1:14">
      <c r="A778" t="s">
        <v>14</v>
      </c>
      <c r="B778" t="str">
        <f>"110504200100"</f>
        <v>110504200100</v>
      </c>
      <c r="C778" t="s">
        <v>1992</v>
      </c>
      <c r="D778" t="s">
        <v>373</v>
      </c>
      <c r="G778" t="s">
        <v>17</v>
      </c>
      <c r="H778" t="s">
        <v>18</v>
      </c>
      <c r="I778" t="s">
        <v>45</v>
      </c>
      <c r="J778" t="s">
        <v>46</v>
      </c>
      <c r="K778" t="s">
        <v>230</v>
      </c>
      <c r="L778" t="s">
        <v>22</v>
      </c>
      <c r="M778" s="1">
        <v>36986</v>
      </c>
      <c r="N778">
        <v>2001</v>
      </c>
    </row>
    <row r="779" spans="1:14">
      <c r="A779" t="s">
        <v>14</v>
      </c>
      <c r="B779" t="str">
        <f>"113105200101"</f>
        <v>113105200101</v>
      </c>
      <c r="C779" t="s">
        <v>2076</v>
      </c>
      <c r="D779" t="s">
        <v>98</v>
      </c>
      <c r="G779" t="s">
        <v>17</v>
      </c>
      <c r="H779" t="s">
        <v>18</v>
      </c>
      <c r="I779" t="s">
        <v>45</v>
      </c>
      <c r="J779" t="s">
        <v>46</v>
      </c>
      <c r="K779" t="s">
        <v>491</v>
      </c>
      <c r="M779" s="1">
        <v>37042</v>
      </c>
      <c r="N779">
        <v>2001</v>
      </c>
    </row>
    <row r="780" spans="1:14">
      <c r="A780" t="s">
        <v>14</v>
      </c>
      <c r="B780" t="str">
        <f>"112501199901"</f>
        <v>112501199901</v>
      </c>
      <c r="C780" t="s">
        <v>2098</v>
      </c>
      <c r="D780" t="s">
        <v>70</v>
      </c>
      <c r="G780" t="s">
        <v>17</v>
      </c>
      <c r="H780" t="s">
        <v>18</v>
      </c>
      <c r="I780" t="s">
        <v>45</v>
      </c>
      <c r="J780" t="s">
        <v>46</v>
      </c>
      <c r="K780" t="s">
        <v>47</v>
      </c>
      <c r="L780" t="s">
        <v>48</v>
      </c>
      <c r="M780" s="1">
        <v>36185</v>
      </c>
      <c r="N780">
        <v>1999</v>
      </c>
    </row>
    <row r="781" spans="1:14">
      <c r="A781" t="s">
        <v>14</v>
      </c>
      <c r="B781" t="str">
        <f>"112903199903"</f>
        <v>112903199903</v>
      </c>
      <c r="C781" t="s">
        <v>2321</v>
      </c>
      <c r="D781" t="s">
        <v>2322</v>
      </c>
      <c r="G781" t="s">
        <v>17</v>
      </c>
      <c r="H781" t="s">
        <v>18</v>
      </c>
      <c r="I781" t="s">
        <v>45</v>
      </c>
      <c r="J781" t="s">
        <v>46</v>
      </c>
      <c r="K781" t="s">
        <v>47</v>
      </c>
      <c r="L781" t="s">
        <v>22</v>
      </c>
      <c r="M781" s="1">
        <v>36248</v>
      </c>
      <c r="N781">
        <v>1999</v>
      </c>
    </row>
    <row r="782" spans="1:14">
      <c r="A782" t="s">
        <v>14</v>
      </c>
      <c r="B782" t="str">
        <f>"112804200005"</f>
        <v>112804200005</v>
      </c>
      <c r="C782" t="s">
        <v>2326</v>
      </c>
      <c r="D782" t="s">
        <v>95</v>
      </c>
      <c r="G782" t="s">
        <v>17</v>
      </c>
      <c r="H782" t="s">
        <v>18</v>
      </c>
      <c r="I782" t="s">
        <v>45</v>
      </c>
      <c r="J782" t="s">
        <v>46</v>
      </c>
      <c r="K782" t="s">
        <v>491</v>
      </c>
      <c r="L782" t="s">
        <v>63</v>
      </c>
      <c r="M782" s="1">
        <v>36644</v>
      </c>
      <c r="N782">
        <v>2000</v>
      </c>
    </row>
    <row r="783" spans="1:14">
      <c r="A783" t="s">
        <v>14</v>
      </c>
      <c r="B783" t="str">
        <f>"111810200000"</f>
        <v>111810200000</v>
      </c>
      <c r="C783" t="s">
        <v>2434</v>
      </c>
      <c r="D783" t="s">
        <v>24</v>
      </c>
      <c r="G783" t="s">
        <v>17</v>
      </c>
      <c r="H783" t="s">
        <v>18</v>
      </c>
      <c r="I783" t="s">
        <v>45</v>
      </c>
      <c r="J783" t="s">
        <v>46</v>
      </c>
      <c r="K783" t="s">
        <v>925</v>
      </c>
      <c r="L783" t="s">
        <v>22</v>
      </c>
      <c r="M783" s="1">
        <v>36817</v>
      </c>
      <c r="N783">
        <v>2000</v>
      </c>
    </row>
    <row r="784" spans="1:14">
      <c r="A784" t="s">
        <v>14</v>
      </c>
      <c r="B784" t="str">
        <f>"112510199900"</f>
        <v>112510199900</v>
      </c>
      <c r="C784" t="s">
        <v>2434</v>
      </c>
      <c r="D784" t="s">
        <v>24</v>
      </c>
      <c r="G784" t="s">
        <v>17</v>
      </c>
      <c r="H784" t="s">
        <v>18</v>
      </c>
      <c r="I784" t="s">
        <v>45</v>
      </c>
      <c r="J784" t="s">
        <v>46</v>
      </c>
      <c r="K784" t="s">
        <v>367</v>
      </c>
      <c r="L784" t="s">
        <v>63</v>
      </c>
      <c r="M784" s="1">
        <v>36458</v>
      </c>
      <c r="N784">
        <v>1999</v>
      </c>
    </row>
    <row r="785" spans="1:14">
      <c r="A785" t="s">
        <v>14</v>
      </c>
      <c r="B785" t="str">
        <f>"113108199900"</f>
        <v>113108199900</v>
      </c>
      <c r="C785" t="s">
        <v>2576</v>
      </c>
      <c r="D785" t="s">
        <v>259</v>
      </c>
      <c r="G785" t="s">
        <v>17</v>
      </c>
      <c r="H785" t="s">
        <v>18</v>
      </c>
      <c r="I785" t="s">
        <v>45</v>
      </c>
      <c r="J785" t="s">
        <v>46</v>
      </c>
      <c r="K785" t="s">
        <v>2577</v>
      </c>
      <c r="L785" t="s">
        <v>48</v>
      </c>
      <c r="M785" s="1">
        <v>36403</v>
      </c>
      <c r="N785">
        <v>1999</v>
      </c>
    </row>
    <row r="786" spans="1:14">
      <c r="A786" t="s">
        <v>14</v>
      </c>
      <c r="B786" t="str">
        <f>"112609200100"</f>
        <v>112609200100</v>
      </c>
      <c r="C786" t="s">
        <v>2618</v>
      </c>
      <c r="D786" t="s">
        <v>24</v>
      </c>
      <c r="G786" t="s">
        <v>17</v>
      </c>
      <c r="H786" t="s">
        <v>18</v>
      </c>
      <c r="I786" t="s">
        <v>45</v>
      </c>
      <c r="J786" t="s">
        <v>46</v>
      </c>
      <c r="K786" t="s">
        <v>47</v>
      </c>
      <c r="L786" t="s">
        <v>22</v>
      </c>
      <c r="M786" s="1">
        <v>37160</v>
      </c>
      <c r="N786">
        <v>2001</v>
      </c>
    </row>
    <row r="787" spans="1:14">
      <c r="A787" t="s">
        <v>14</v>
      </c>
      <c r="B787" t="str">
        <f>"111105200102"</f>
        <v>111105200102</v>
      </c>
      <c r="C787" t="s">
        <v>2690</v>
      </c>
      <c r="D787" t="s">
        <v>50</v>
      </c>
      <c r="G787" t="s">
        <v>17</v>
      </c>
      <c r="H787" t="s">
        <v>18</v>
      </c>
      <c r="I787" t="s">
        <v>45</v>
      </c>
      <c r="J787" t="s">
        <v>46</v>
      </c>
      <c r="K787" t="s">
        <v>179</v>
      </c>
      <c r="L787" t="s">
        <v>22</v>
      </c>
      <c r="M787" s="1">
        <v>37022</v>
      </c>
      <c r="N787">
        <v>2001</v>
      </c>
    </row>
    <row r="788" spans="1:14">
      <c r="A788" t="s">
        <v>14</v>
      </c>
      <c r="B788" t="str">
        <f>"110603200100"</f>
        <v>110603200100</v>
      </c>
      <c r="C788" t="s">
        <v>2718</v>
      </c>
      <c r="D788" t="s">
        <v>98</v>
      </c>
      <c r="G788" t="s">
        <v>17</v>
      </c>
      <c r="H788" t="s">
        <v>18</v>
      </c>
      <c r="I788" t="s">
        <v>45</v>
      </c>
      <c r="J788" t="s">
        <v>46</v>
      </c>
      <c r="K788" t="s">
        <v>491</v>
      </c>
      <c r="L788" t="s">
        <v>22</v>
      </c>
      <c r="M788" s="1">
        <v>36956</v>
      </c>
      <c r="N788">
        <v>2001</v>
      </c>
    </row>
    <row r="789" spans="1:14">
      <c r="A789" t="s">
        <v>14</v>
      </c>
      <c r="B789" t="str">
        <f>"110503200500"</f>
        <v>110503200500</v>
      </c>
      <c r="C789" t="s">
        <v>177</v>
      </c>
      <c r="D789" t="s">
        <v>178</v>
      </c>
      <c r="G789" t="s">
        <v>17</v>
      </c>
      <c r="H789" t="s">
        <v>39</v>
      </c>
      <c r="I789" t="s">
        <v>45</v>
      </c>
      <c r="J789" t="s">
        <v>46</v>
      </c>
      <c r="K789" t="s">
        <v>179</v>
      </c>
      <c r="M789" s="1">
        <v>38416</v>
      </c>
      <c r="N789">
        <v>2005</v>
      </c>
    </row>
    <row r="790" spans="1:14">
      <c r="A790" t="s">
        <v>14</v>
      </c>
      <c r="B790" t="str">
        <f>"110410200400"</f>
        <v>110410200400</v>
      </c>
      <c r="C790" t="s">
        <v>349</v>
      </c>
      <c r="D790" t="s">
        <v>100</v>
      </c>
      <c r="G790" t="s">
        <v>17</v>
      </c>
      <c r="H790" t="s">
        <v>39</v>
      </c>
      <c r="I790" t="s">
        <v>45</v>
      </c>
      <c r="J790" t="s">
        <v>46</v>
      </c>
      <c r="K790" t="s">
        <v>47</v>
      </c>
      <c r="L790" t="s">
        <v>22</v>
      </c>
      <c r="M790" s="1">
        <v>38264</v>
      </c>
      <c r="N790">
        <v>2004</v>
      </c>
    </row>
    <row r="791" spans="1:14">
      <c r="A791" t="s">
        <v>14</v>
      </c>
      <c r="B791" t="str">
        <f>"110912200500"</f>
        <v>110912200500</v>
      </c>
      <c r="C791" t="s">
        <v>628</v>
      </c>
      <c r="D791" t="s">
        <v>95</v>
      </c>
      <c r="G791" t="s">
        <v>17</v>
      </c>
      <c r="H791" t="s">
        <v>39</v>
      </c>
      <c r="I791" t="s">
        <v>45</v>
      </c>
      <c r="J791" t="s">
        <v>46</v>
      </c>
      <c r="K791" t="s">
        <v>629</v>
      </c>
      <c r="L791" t="s">
        <v>22</v>
      </c>
      <c r="M791" s="1">
        <v>38695</v>
      </c>
      <c r="N791">
        <v>2005</v>
      </c>
    </row>
    <row r="792" spans="1:14">
      <c r="A792" t="s">
        <v>14</v>
      </c>
      <c r="B792" t="str">
        <f>"111509200501"</f>
        <v>111509200501</v>
      </c>
      <c r="C792" t="s">
        <v>934</v>
      </c>
      <c r="D792" t="s">
        <v>58</v>
      </c>
      <c r="G792" t="s">
        <v>17</v>
      </c>
      <c r="H792" t="s">
        <v>39</v>
      </c>
      <c r="I792" t="s">
        <v>45</v>
      </c>
      <c r="J792" t="s">
        <v>46</v>
      </c>
      <c r="K792" t="s">
        <v>629</v>
      </c>
      <c r="L792" t="s">
        <v>22</v>
      </c>
      <c r="M792" s="1">
        <v>38610</v>
      </c>
      <c r="N792">
        <v>2005</v>
      </c>
    </row>
    <row r="793" spans="1:14">
      <c r="A793" t="s">
        <v>14</v>
      </c>
      <c r="B793" t="str">
        <f>"111902200500"</f>
        <v>111902200500</v>
      </c>
      <c r="C793" t="s">
        <v>1049</v>
      </c>
      <c r="D793" t="s">
        <v>1050</v>
      </c>
      <c r="G793" t="s">
        <v>17</v>
      </c>
      <c r="H793" t="s">
        <v>39</v>
      </c>
      <c r="I793" t="s">
        <v>45</v>
      </c>
      <c r="J793" t="s">
        <v>46</v>
      </c>
      <c r="K793" t="s">
        <v>602</v>
      </c>
      <c r="L793" t="s">
        <v>22</v>
      </c>
      <c r="M793" s="1">
        <v>38402</v>
      </c>
      <c r="N793">
        <v>2005</v>
      </c>
    </row>
    <row r="794" spans="1:14">
      <c r="A794" t="s">
        <v>14</v>
      </c>
      <c r="B794" t="str">
        <f>"111301200400"</f>
        <v>111301200400</v>
      </c>
      <c r="C794" t="s">
        <v>1060</v>
      </c>
      <c r="D794" t="s">
        <v>24</v>
      </c>
      <c r="G794" t="s">
        <v>17</v>
      </c>
      <c r="H794" t="s">
        <v>39</v>
      </c>
      <c r="I794" t="s">
        <v>45</v>
      </c>
      <c r="J794" t="s">
        <v>46</v>
      </c>
      <c r="K794" t="s">
        <v>629</v>
      </c>
      <c r="L794" t="s">
        <v>22</v>
      </c>
      <c r="M794" s="1">
        <v>37999</v>
      </c>
      <c r="N794">
        <v>2004</v>
      </c>
    </row>
    <row r="795" spans="1:14">
      <c r="A795" t="s">
        <v>14</v>
      </c>
      <c r="B795" t="str">
        <f>"111611200401"</f>
        <v>111611200401</v>
      </c>
      <c r="C795" t="s">
        <v>1082</v>
      </c>
      <c r="D795" t="s">
        <v>268</v>
      </c>
      <c r="G795" t="s">
        <v>17</v>
      </c>
      <c r="H795" t="s">
        <v>39</v>
      </c>
      <c r="I795" t="s">
        <v>45</v>
      </c>
      <c r="J795" t="s">
        <v>46</v>
      </c>
      <c r="K795" t="s">
        <v>602</v>
      </c>
      <c r="L795" t="s">
        <v>22</v>
      </c>
      <c r="M795" s="1">
        <v>38307</v>
      </c>
      <c r="N795">
        <v>2004</v>
      </c>
    </row>
    <row r="796" spans="1:14">
      <c r="A796" t="s">
        <v>14</v>
      </c>
      <c r="B796" t="str">
        <f>"110111200401"</f>
        <v>110111200401</v>
      </c>
      <c r="C796" t="s">
        <v>1137</v>
      </c>
      <c r="D796" t="s">
        <v>115</v>
      </c>
      <c r="G796" t="s">
        <v>17</v>
      </c>
      <c r="H796" t="s">
        <v>39</v>
      </c>
      <c r="I796" t="s">
        <v>45</v>
      </c>
      <c r="J796" t="s">
        <v>46</v>
      </c>
      <c r="K796" t="s">
        <v>179</v>
      </c>
      <c r="L796" t="s">
        <v>22</v>
      </c>
      <c r="M796" s="1">
        <v>38292</v>
      </c>
      <c r="N796">
        <v>2004</v>
      </c>
    </row>
    <row r="797" spans="1:14">
      <c r="A797" t="s">
        <v>14</v>
      </c>
      <c r="B797" t="str">
        <f>"111509200500"</f>
        <v>111509200500</v>
      </c>
      <c r="C797" t="s">
        <v>1202</v>
      </c>
      <c r="D797" t="s">
        <v>403</v>
      </c>
      <c r="G797" t="s">
        <v>17</v>
      </c>
      <c r="H797" t="s">
        <v>39</v>
      </c>
      <c r="I797" t="s">
        <v>45</v>
      </c>
      <c r="J797" t="s">
        <v>46</v>
      </c>
      <c r="K797" t="s">
        <v>925</v>
      </c>
      <c r="L797" t="s">
        <v>22</v>
      </c>
      <c r="M797" s="1">
        <v>38610</v>
      </c>
      <c r="N797">
        <v>2005</v>
      </c>
    </row>
    <row r="798" spans="1:14">
      <c r="A798" t="s">
        <v>14</v>
      </c>
      <c r="B798" t="str">
        <f>"112603200400"</f>
        <v>112603200400</v>
      </c>
      <c r="C798" t="s">
        <v>1382</v>
      </c>
      <c r="D798" t="s">
        <v>209</v>
      </c>
      <c r="G798" t="s">
        <v>17</v>
      </c>
      <c r="H798" t="s">
        <v>39</v>
      </c>
      <c r="I798" t="s">
        <v>45</v>
      </c>
      <c r="J798" t="s">
        <v>46</v>
      </c>
      <c r="K798" t="s">
        <v>629</v>
      </c>
      <c r="L798" t="s">
        <v>22</v>
      </c>
      <c r="M798" s="1">
        <v>38072</v>
      </c>
      <c r="N798">
        <v>2004</v>
      </c>
    </row>
    <row r="799" spans="1:14">
      <c r="A799" t="s">
        <v>14</v>
      </c>
      <c r="B799" t="str">
        <f>"111208200500"</f>
        <v>111208200500</v>
      </c>
      <c r="C799" t="s">
        <v>1430</v>
      </c>
      <c r="D799" t="s">
        <v>205</v>
      </c>
      <c r="G799" t="s">
        <v>17</v>
      </c>
      <c r="H799" t="s">
        <v>39</v>
      </c>
      <c r="I799" t="s">
        <v>45</v>
      </c>
      <c r="J799" t="s">
        <v>46</v>
      </c>
      <c r="K799" t="s">
        <v>1431</v>
      </c>
      <c r="L799" t="s">
        <v>22</v>
      </c>
      <c r="M799" s="1">
        <v>38576</v>
      </c>
      <c r="N799">
        <v>2005</v>
      </c>
    </row>
    <row r="800" spans="1:14">
      <c r="A800" t="s">
        <v>14</v>
      </c>
      <c r="B800" t="str">
        <f>"111407200401"</f>
        <v>111407200401</v>
      </c>
      <c r="C800" t="s">
        <v>1489</v>
      </c>
      <c r="D800" t="s">
        <v>129</v>
      </c>
      <c r="G800" t="s">
        <v>17</v>
      </c>
      <c r="H800" t="s">
        <v>39</v>
      </c>
      <c r="I800" t="s">
        <v>45</v>
      </c>
      <c r="J800" t="s">
        <v>46</v>
      </c>
      <c r="K800" t="s">
        <v>602</v>
      </c>
      <c r="M800" s="1">
        <v>38182</v>
      </c>
      <c r="N800">
        <v>2004</v>
      </c>
    </row>
    <row r="801" spans="1:14">
      <c r="A801" t="s">
        <v>14</v>
      </c>
      <c r="B801" t="str">
        <f>"111608200500"</f>
        <v>111608200500</v>
      </c>
      <c r="C801" t="s">
        <v>1498</v>
      </c>
      <c r="D801" t="s">
        <v>529</v>
      </c>
      <c r="G801" t="s">
        <v>17</v>
      </c>
      <c r="H801" t="s">
        <v>39</v>
      </c>
      <c r="I801" t="s">
        <v>45</v>
      </c>
      <c r="J801" t="s">
        <v>46</v>
      </c>
      <c r="K801" t="s">
        <v>629</v>
      </c>
      <c r="M801" s="1">
        <v>38580</v>
      </c>
      <c r="N801">
        <v>2005</v>
      </c>
    </row>
    <row r="802" spans="1:14">
      <c r="A802" t="s">
        <v>14</v>
      </c>
      <c r="B802" t="str">
        <f>"111307200400"</f>
        <v>111307200400</v>
      </c>
      <c r="C802" t="s">
        <v>1509</v>
      </c>
      <c r="D802" t="s">
        <v>886</v>
      </c>
      <c r="G802" t="s">
        <v>17</v>
      </c>
      <c r="H802" t="s">
        <v>39</v>
      </c>
      <c r="I802" t="s">
        <v>45</v>
      </c>
      <c r="J802" t="s">
        <v>46</v>
      </c>
      <c r="K802" t="s">
        <v>602</v>
      </c>
      <c r="L802" t="s">
        <v>22</v>
      </c>
      <c r="M802" s="1">
        <v>38181</v>
      </c>
      <c r="N802">
        <v>2004</v>
      </c>
    </row>
    <row r="803" spans="1:14">
      <c r="A803" t="s">
        <v>14</v>
      </c>
      <c r="B803" t="str">
        <f>"110206200501"</f>
        <v>110206200501</v>
      </c>
      <c r="C803" t="s">
        <v>1522</v>
      </c>
      <c r="D803" t="s">
        <v>95</v>
      </c>
      <c r="G803" t="s">
        <v>17</v>
      </c>
      <c r="H803" t="s">
        <v>39</v>
      </c>
      <c r="I803" t="s">
        <v>45</v>
      </c>
      <c r="J803" t="s">
        <v>46</v>
      </c>
      <c r="K803" t="s">
        <v>179</v>
      </c>
      <c r="M803" s="1">
        <v>38505</v>
      </c>
      <c r="N803">
        <v>2005</v>
      </c>
    </row>
    <row r="804" spans="1:14">
      <c r="A804" t="s">
        <v>14</v>
      </c>
      <c r="B804" t="str">
        <f>"110710200400"</f>
        <v>110710200400</v>
      </c>
      <c r="C804" t="s">
        <v>1526</v>
      </c>
      <c r="D804" t="s">
        <v>136</v>
      </c>
      <c r="G804" t="s">
        <v>17</v>
      </c>
      <c r="H804" t="s">
        <v>39</v>
      </c>
      <c r="I804" t="s">
        <v>45</v>
      </c>
      <c r="J804" t="s">
        <v>46</v>
      </c>
      <c r="K804" t="s">
        <v>1431</v>
      </c>
      <c r="L804" t="s">
        <v>22</v>
      </c>
      <c r="M804" s="1">
        <v>38267</v>
      </c>
      <c r="N804">
        <v>2004</v>
      </c>
    </row>
    <row r="805" spans="1:14">
      <c r="A805" t="s">
        <v>14</v>
      </c>
      <c r="B805" t="str">
        <f>"112502200500"</f>
        <v>112502200500</v>
      </c>
      <c r="C805" t="s">
        <v>1575</v>
      </c>
      <c r="D805" t="s">
        <v>1452</v>
      </c>
      <c r="G805" t="s">
        <v>17</v>
      </c>
      <c r="H805" t="s">
        <v>39</v>
      </c>
      <c r="I805" t="s">
        <v>45</v>
      </c>
      <c r="J805" t="s">
        <v>46</v>
      </c>
      <c r="K805" t="s">
        <v>602</v>
      </c>
      <c r="L805" t="s">
        <v>22</v>
      </c>
      <c r="M805" s="1">
        <v>38408</v>
      </c>
      <c r="N805">
        <v>2005</v>
      </c>
    </row>
    <row r="806" spans="1:14">
      <c r="A806" t="s">
        <v>14</v>
      </c>
      <c r="B806" t="str">
        <f>"112805200400"</f>
        <v>112805200400</v>
      </c>
      <c r="C806" t="s">
        <v>1576</v>
      </c>
      <c r="D806" t="s">
        <v>95</v>
      </c>
      <c r="G806" t="s">
        <v>17</v>
      </c>
      <c r="H806" t="s">
        <v>39</v>
      </c>
      <c r="I806" t="s">
        <v>45</v>
      </c>
      <c r="J806" t="s">
        <v>46</v>
      </c>
      <c r="K806" t="s">
        <v>629</v>
      </c>
      <c r="L806" t="s">
        <v>22</v>
      </c>
      <c r="M806" s="1">
        <v>38135</v>
      </c>
      <c r="N806">
        <v>2004</v>
      </c>
    </row>
    <row r="807" spans="1:14">
      <c r="A807" t="s">
        <v>14</v>
      </c>
      <c r="B807" t="str">
        <f>"111107200501"</f>
        <v>111107200501</v>
      </c>
      <c r="C807" t="s">
        <v>1761</v>
      </c>
      <c r="D807" t="s">
        <v>58</v>
      </c>
      <c r="G807" t="s">
        <v>17</v>
      </c>
      <c r="H807" t="s">
        <v>39</v>
      </c>
      <c r="I807" t="s">
        <v>45</v>
      </c>
      <c r="J807" t="s">
        <v>46</v>
      </c>
      <c r="K807" t="s">
        <v>629</v>
      </c>
      <c r="L807" t="s">
        <v>22</v>
      </c>
      <c r="M807" s="1">
        <v>38544</v>
      </c>
      <c r="N807">
        <v>2005</v>
      </c>
    </row>
    <row r="808" spans="1:14">
      <c r="A808" t="s">
        <v>14</v>
      </c>
      <c r="B808" t="str">
        <f>"110405200500"</f>
        <v>110405200500</v>
      </c>
      <c r="C808" t="s">
        <v>1765</v>
      </c>
      <c r="D808" t="s">
        <v>431</v>
      </c>
      <c r="G808" t="s">
        <v>17</v>
      </c>
      <c r="H808" t="s">
        <v>39</v>
      </c>
      <c r="I808" t="s">
        <v>45</v>
      </c>
      <c r="J808" t="s">
        <v>46</v>
      </c>
      <c r="K808" t="s">
        <v>629</v>
      </c>
      <c r="M808" s="1">
        <v>38476</v>
      </c>
      <c r="N808">
        <v>2005</v>
      </c>
    </row>
    <row r="809" spans="1:14">
      <c r="A809" t="s">
        <v>14</v>
      </c>
      <c r="B809" t="str">
        <f>"111501200500"</f>
        <v>111501200500</v>
      </c>
      <c r="C809" t="s">
        <v>1802</v>
      </c>
      <c r="D809" t="s">
        <v>98</v>
      </c>
      <c r="G809" t="s">
        <v>17</v>
      </c>
      <c r="H809" t="s">
        <v>39</v>
      </c>
      <c r="I809" t="s">
        <v>45</v>
      </c>
      <c r="J809" t="s">
        <v>46</v>
      </c>
      <c r="K809" t="s">
        <v>1803</v>
      </c>
      <c r="L809" t="s">
        <v>22</v>
      </c>
      <c r="M809" s="1">
        <v>38367</v>
      </c>
      <c r="N809">
        <v>2005</v>
      </c>
    </row>
    <row r="810" spans="1:14">
      <c r="A810" t="s">
        <v>14</v>
      </c>
      <c r="B810" t="str">
        <f>"111904200400"</f>
        <v>111904200400</v>
      </c>
      <c r="C810" t="s">
        <v>2033</v>
      </c>
      <c r="D810" t="s">
        <v>129</v>
      </c>
      <c r="G810" t="s">
        <v>17</v>
      </c>
      <c r="H810" t="s">
        <v>39</v>
      </c>
      <c r="I810" t="s">
        <v>45</v>
      </c>
      <c r="J810" t="s">
        <v>46</v>
      </c>
      <c r="K810" t="s">
        <v>179</v>
      </c>
      <c r="M810" s="1">
        <v>38096</v>
      </c>
      <c r="N810">
        <v>2004</v>
      </c>
    </row>
    <row r="811" spans="1:14">
      <c r="A811" t="s">
        <v>14</v>
      </c>
      <c r="B811" t="str">
        <f>"110109200500"</f>
        <v>110109200500</v>
      </c>
      <c r="C811" t="s">
        <v>2064</v>
      </c>
      <c r="D811" t="s">
        <v>587</v>
      </c>
      <c r="G811" t="s">
        <v>17</v>
      </c>
      <c r="H811" t="s">
        <v>39</v>
      </c>
      <c r="I811" t="s">
        <v>45</v>
      </c>
      <c r="J811" t="s">
        <v>46</v>
      </c>
      <c r="K811" t="s">
        <v>47</v>
      </c>
      <c r="L811" t="s">
        <v>22</v>
      </c>
      <c r="M811" s="1">
        <v>38596</v>
      </c>
      <c r="N811">
        <v>2005</v>
      </c>
    </row>
    <row r="812" spans="1:14">
      <c r="A812" t="s">
        <v>14</v>
      </c>
      <c r="B812" t="str">
        <f>"110706200401"</f>
        <v>110706200401</v>
      </c>
      <c r="C812" t="s">
        <v>2222</v>
      </c>
      <c r="D812" t="s">
        <v>344</v>
      </c>
      <c r="G812" t="s">
        <v>17</v>
      </c>
      <c r="H812" t="s">
        <v>39</v>
      </c>
      <c r="I812" t="s">
        <v>45</v>
      </c>
      <c r="J812" t="s">
        <v>46</v>
      </c>
      <c r="K812" t="s">
        <v>629</v>
      </c>
      <c r="L812" t="s">
        <v>22</v>
      </c>
      <c r="M812" s="1">
        <v>38145</v>
      </c>
      <c r="N812">
        <v>2004</v>
      </c>
    </row>
    <row r="813" spans="1:14">
      <c r="A813" t="s">
        <v>14</v>
      </c>
      <c r="B813" t="str">
        <f>"110203200400"</f>
        <v>110203200400</v>
      </c>
      <c r="C813" t="s">
        <v>2293</v>
      </c>
      <c r="D813" t="s">
        <v>1310</v>
      </c>
      <c r="G813" t="s">
        <v>17</v>
      </c>
      <c r="H813" t="s">
        <v>39</v>
      </c>
      <c r="I813" t="s">
        <v>45</v>
      </c>
      <c r="J813" t="s">
        <v>46</v>
      </c>
      <c r="K813" t="s">
        <v>1431</v>
      </c>
      <c r="L813" t="s">
        <v>22</v>
      </c>
      <c r="M813" s="1">
        <v>38048</v>
      </c>
      <c r="N813">
        <v>2004</v>
      </c>
    </row>
    <row r="814" spans="1:14">
      <c r="A814" t="s">
        <v>14</v>
      </c>
      <c r="B814" t="str">
        <f>"112905200500"</f>
        <v>112905200500</v>
      </c>
      <c r="C814" t="s">
        <v>2358</v>
      </c>
      <c r="D814" t="s">
        <v>100</v>
      </c>
      <c r="G814" t="s">
        <v>17</v>
      </c>
      <c r="H814" t="s">
        <v>39</v>
      </c>
      <c r="I814" t="s">
        <v>45</v>
      </c>
      <c r="J814" t="s">
        <v>46</v>
      </c>
      <c r="K814" t="s">
        <v>602</v>
      </c>
      <c r="M814" s="1">
        <v>38501</v>
      </c>
      <c r="N814">
        <v>2005</v>
      </c>
    </row>
    <row r="815" spans="1:14">
      <c r="A815" t="s">
        <v>14</v>
      </c>
      <c r="B815" t="str">
        <f>"111411200402"</f>
        <v>111411200402</v>
      </c>
      <c r="C815" t="s">
        <v>2397</v>
      </c>
      <c r="D815" t="s">
        <v>392</v>
      </c>
      <c r="G815" t="s">
        <v>17</v>
      </c>
      <c r="H815" t="s">
        <v>39</v>
      </c>
      <c r="I815" t="s">
        <v>45</v>
      </c>
      <c r="J815" t="s">
        <v>46</v>
      </c>
      <c r="K815" t="s">
        <v>179</v>
      </c>
      <c r="M815" s="1">
        <v>38305</v>
      </c>
      <c r="N815">
        <v>2004</v>
      </c>
    </row>
    <row r="816" spans="1:14">
      <c r="A816" t="s">
        <v>14</v>
      </c>
      <c r="B816" t="str">
        <f>"112109200402"</f>
        <v>112109200402</v>
      </c>
      <c r="C816" t="s">
        <v>2418</v>
      </c>
      <c r="D816" t="s">
        <v>728</v>
      </c>
      <c r="G816" t="s">
        <v>17</v>
      </c>
      <c r="H816" t="s">
        <v>39</v>
      </c>
      <c r="I816" t="s">
        <v>45</v>
      </c>
      <c r="J816" t="s">
        <v>46</v>
      </c>
      <c r="K816" t="s">
        <v>602</v>
      </c>
      <c r="M816" s="1">
        <v>38251</v>
      </c>
      <c r="N816">
        <v>2004</v>
      </c>
    </row>
    <row r="817" spans="1:14">
      <c r="A817" t="s">
        <v>14</v>
      </c>
      <c r="B817" t="str">
        <f>"111403200400"</f>
        <v>111403200400</v>
      </c>
      <c r="C817" t="s">
        <v>2443</v>
      </c>
      <c r="D817" t="s">
        <v>917</v>
      </c>
      <c r="G817" t="s">
        <v>17</v>
      </c>
      <c r="H817" t="s">
        <v>39</v>
      </c>
      <c r="I817" t="s">
        <v>45</v>
      </c>
      <c r="J817" t="s">
        <v>46</v>
      </c>
      <c r="K817" t="s">
        <v>925</v>
      </c>
      <c r="L817" t="s">
        <v>22</v>
      </c>
      <c r="M817" s="1">
        <v>38060</v>
      </c>
      <c r="N817">
        <v>2004</v>
      </c>
    </row>
    <row r="818" spans="1:14">
      <c r="A818" t="s">
        <v>14</v>
      </c>
      <c r="B818" t="str">
        <f>"111809200400"</f>
        <v>111809200400</v>
      </c>
      <c r="C818" t="s">
        <v>2568</v>
      </c>
      <c r="D818" t="s">
        <v>89</v>
      </c>
      <c r="G818" t="s">
        <v>17</v>
      </c>
      <c r="H818" t="s">
        <v>39</v>
      </c>
      <c r="I818" t="s">
        <v>45</v>
      </c>
      <c r="J818" t="s">
        <v>46</v>
      </c>
      <c r="K818" t="s">
        <v>965</v>
      </c>
      <c r="L818" t="s">
        <v>22</v>
      </c>
      <c r="M818" s="1">
        <v>38248</v>
      </c>
      <c r="N818">
        <v>2004</v>
      </c>
    </row>
    <row r="819" spans="1:14">
      <c r="A819" t="s">
        <v>14</v>
      </c>
      <c r="B819" t="str">
        <f>"112302200401"</f>
        <v>112302200401</v>
      </c>
      <c r="C819" t="s">
        <v>2625</v>
      </c>
      <c r="D819" t="s">
        <v>24</v>
      </c>
      <c r="G819" t="s">
        <v>17</v>
      </c>
      <c r="H819" t="s">
        <v>39</v>
      </c>
      <c r="I819" t="s">
        <v>45</v>
      </c>
      <c r="J819" t="s">
        <v>46</v>
      </c>
      <c r="K819" t="s">
        <v>629</v>
      </c>
      <c r="L819" t="s">
        <v>22</v>
      </c>
      <c r="M819" s="1">
        <v>38040</v>
      </c>
      <c r="N819">
        <v>2004</v>
      </c>
    </row>
    <row r="820" spans="1:14">
      <c r="A820" t="s">
        <v>14</v>
      </c>
      <c r="B820" t="str">
        <f>"112103200500"</f>
        <v>112103200500</v>
      </c>
      <c r="C820" t="s">
        <v>2766</v>
      </c>
      <c r="D820" t="s">
        <v>382</v>
      </c>
      <c r="G820" t="s">
        <v>17</v>
      </c>
      <c r="H820" t="s">
        <v>39</v>
      </c>
      <c r="I820" t="s">
        <v>45</v>
      </c>
      <c r="J820" t="s">
        <v>46</v>
      </c>
      <c r="K820" t="s">
        <v>179</v>
      </c>
      <c r="L820" t="s">
        <v>22</v>
      </c>
      <c r="M820" s="1">
        <v>38432</v>
      </c>
      <c r="N820">
        <v>2005</v>
      </c>
    </row>
    <row r="821" spans="1:14">
      <c r="A821" t="s">
        <v>14</v>
      </c>
      <c r="B821" t="str">
        <f>"110810200500"</f>
        <v>110810200500</v>
      </c>
      <c r="C821" t="s">
        <v>2825</v>
      </c>
      <c r="D821" t="s">
        <v>283</v>
      </c>
      <c r="G821" t="s">
        <v>17</v>
      </c>
      <c r="H821" t="s">
        <v>39</v>
      </c>
      <c r="I821" t="s">
        <v>45</v>
      </c>
      <c r="J821" t="s">
        <v>46</v>
      </c>
      <c r="K821" t="s">
        <v>1431</v>
      </c>
      <c r="L821" t="s">
        <v>22</v>
      </c>
      <c r="M821" s="1">
        <v>38633</v>
      </c>
      <c r="N821">
        <v>2005</v>
      </c>
    </row>
    <row r="822" spans="1:14">
      <c r="A822" t="s">
        <v>14</v>
      </c>
      <c r="B822" t="str">
        <f>"110311200400"</f>
        <v>110311200400</v>
      </c>
      <c r="C822" t="s">
        <v>2868</v>
      </c>
      <c r="D822" t="s">
        <v>1235</v>
      </c>
      <c r="G822" t="s">
        <v>17</v>
      </c>
      <c r="H822" t="s">
        <v>39</v>
      </c>
      <c r="I822" t="s">
        <v>45</v>
      </c>
      <c r="J822" t="s">
        <v>46</v>
      </c>
      <c r="K822" t="s">
        <v>965</v>
      </c>
      <c r="L822" t="s">
        <v>22</v>
      </c>
      <c r="M822" s="1">
        <v>38294</v>
      </c>
      <c r="N822">
        <v>2004</v>
      </c>
    </row>
    <row r="823" spans="1:14">
      <c r="A823" t="s">
        <v>14</v>
      </c>
      <c r="B823" t="str">
        <f>"112202200400"</f>
        <v>112202200400</v>
      </c>
      <c r="C823" t="s">
        <v>2888</v>
      </c>
      <c r="D823" t="s">
        <v>209</v>
      </c>
      <c r="G823" t="s">
        <v>17</v>
      </c>
      <c r="H823" t="s">
        <v>39</v>
      </c>
      <c r="I823" t="s">
        <v>45</v>
      </c>
      <c r="J823" t="s">
        <v>46</v>
      </c>
      <c r="K823" t="s">
        <v>1431</v>
      </c>
      <c r="L823" t="s">
        <v>22</v>
      </c>
      <c r="M823" s="1">
        <v>38039</v>
      </c>
      <c r="N823">
        <v>2004</v>
      </c>
    </row>
    <row r="824" spans="1:14">
      <c r="A824" t="s">
        <v>14</v>
      </c>
      <c r="B824" t="str">
        <f>"110803200200"</f>
        <v>110803200200</v>
      </c>
      <c r="C824" t="s">
        <v>49</v>
      </c>
      <c r="D824" t="s">
        <v>50</v>
      </c>
      <c r="G824" t="s">
        <v>17</v>
      </c>
      <c r="H824" t="s">
        <v>51</v>
      </c>
      <c r="I824" t="s">
        <v>45</v>
      </c>
      <c r="J824" t="s">
        <v>46</v>
      </c>
      <c r="K824" t="s">
        <v>52</v>
      </c>
      <c r="M824" s="1">
        <v>37323</v>
      </c>
      <c r="N824">
        <v>2002</v>
      </c>
    </row>
    <row r="825" spans="1:14">
      <c r="A825" t="s">
        <v>14</v>
      </c>
      <c r="B825" t="str">
        <f>"111612200201"</f>
        <v>111612200201</v>
      </c>
      <c r="C825" t="s">
        <v>226</v>
      </c>
      <c r="D825" t="s">
        <v>181</v>
      </c>
      <c r="G825" t="s">
        <v>17</v>
      </c>
      <c r="H825" t="s">
        <v>51</v>
      </c>
      <c r="I825" t="s">
        <v>45</v>
      </c>
      <c r="J825" t="s">
        <v>46</v>
      </c>
      <c r="K825" t="s">
        <v>230</v>
      </c>
      <c r="L825" t="s">
        <v>22</v>
      </c>
      <c r="M825" s="1">
        <v>37606</v>
      </c>
      <c r="N825">
        <v>2002</v>
      </c>
    </row>
    <row r="826" spans="1:14">
      <c r="A826" t="s">
        <v>14</v>
      </c>
      <c r="B826" t="str">
        <f>"112806200302"</f>
        <v>112806200302</v>
      </c>
      <c r="C826" t="s">
        <v>365</v>
      </c>
      <c r="D826" t="s">
        <v>366</v>
      </c>
      <c r="G826" t="s">
        <v>17</v>
      </c>
      <c r="H826" t="s">
        <v>51</v>
      </c>
      <c r="I826" t="s">
        <v>45</v>
      </c>
      <c r="J826" t="s">
        <v>46</v>
      </c>
      <c r="K826" t="s">
        <v>367</v>
      </c>
      <c r="L826" t="s">
        <v>22</v>
      </c>
      <c r="M826" s="1">
        <v>37800</v>
      </c>
      <c r="N826">
        <v>2003</v>
      </c>
    </row>
    <row r="827" spans="1:14">
      <c r="A827" t="s">
        <v>14</v>
      </c>
      <c r="B827" t="str">
        <f>"110703200302"</f>
        <v>110703200302</v>
      </c>
      <c r="C827" t="s">
        <v>601</v>
      </c>
      <c r="D827" t="s">
        <v>387</v>
      </c>
      <c r="G827" t="s">
        <v>17</v>
      </c>
      <c r="H827" t="s">
        <v>51</v>
      </c>
      <c r="I827" t="s">
        <v>45</v>
      </c>
      <c r="J827" t="s">
        <v>46</v>
      </c>
      <c r="K827" t="s">
        <v>602</v>
      </c>
      <c r="L827" t="s">
        <v>22</v>
      </c>
      <c r="M827" s="1">
        <v>37687</v>
      </c>
      <c r="N827">
        <v>2003</v>
      </c>
    </row>
    <row r="828" spans="1:14">
      <c r="A828" t="s">
        <v>14</v>
      </c>
      <c r="B828" t="str">
        <f>"110507200200"</f>
        <v>110507200200</v>
      </c>
      <c r="C828" t="s">
        <v>636</v>
      </c>
      <c r="D828" t="s">
        <v>70</v>
      </c>
      <c r="G828" t="s">
        <v>17</v>
      </c>
      <c r="H828" t="s">
        <v>51</v>
      </c>
      <c r="I828" t="s">
        <v>45</v>
      </c>
      <c r="J828" t="s">
        <v>46</v>
      </c>
      <c r="K828" t="s">
        <v>47</v>
      </c>
      <c r="L828" t="s">
        <v>63</v>
      </c>
      <c r="M828" s="1">
        <v>37442</v>
      </c>
      <c r="N828">
        <v>2002</v>
      </c>
    </row>
    <row r="829" spans="1:14">
      <c r="A829" t="s">
        <v>14</v>
      </c>
      <c r="B829" t="str">
        <f>"110509200200"</f>
        <v>110509200200</v>
      </c>
      <c r="C829" t="s">
        <v>655</v>
      </c>
      <c r="D829" t="s">
        <v>155</v>
      </c>
      <c r="G829" t="s">
        <v>17</v>
      </c>
      <c r="H829" t="s">
        <v>51</v>
      </c>
      <c r="I829" t="s">
        <v>45</v>
      </c>
      <c r="J829" t="s">
        <v>46</v>
      </c>
      <c r="K829" t="s">
        <v>47</v>
      </c>
      <c r="L829" t="s">
        <v>22</v>
      </c>
      <c r="M829" s="1">
        <v>37504</v>
      </c>
      <c r="N829">
        <v>2002</v>
      </c>
    </row>
    <row r="830" spans="1:14">
      <c r="A830" t="s">
        <v>14</v>
      </c>
      <c r="B830" t="str">
        <f>"111705200302"</f>
        <v>111705200302</v>
      </c>
      <c r="C830" t="s">
        <v>684</v>
      </c>
      <c r="D830" t="s">
        <v>50</v>
      </c>
      <c r="G830" t="s">
        <v>17</v>
      </c>
      <c r="H830" t="s">
        <v>51</v>
      </c>
      <c r="I830" t="s">
        <v>45</v>
      </c>
      <c r="J830" t="s">
        <v>46</v>
      </c>
      <c r="K830" t="s">
        <v>629</v>
      </c>
      <c r="L830" t="s">
        <v>22</v>
      </c>
      <c r="M830" s="1">
        <v>37758</v>
      </c>
      <c r="N830">
        <v>2003</v>
      </c>
    </row>
    <row r="831" spans="1:14">
      <c r="A831" t="s">
        <v>14</v>
      </c>
      <c r="B831" t="str">
        <f>"112312200200"</f>
        <v>112312200200</v>
      </c>
      <c r="C831" t="s">
        <v>768</v>
      </c>
      <c r="D831" t="s">
        <v>98</v>
      </c>
      <c r="G831" t="s">
        <v>17</v>
      </c>
      <c r="H831" t="s">
        <v>51</v>
      </c>
      <c r="I831" t="s">
        <v>45</v>
      </c>
      <c r="J831" t="s">
        <v>46</v>
      </c>
      <c r="K831" t="s">
        <v>230</v>
      </c>
      <c r="L831" t="s">
        <v>22</v>
      </c>
      <c r="M831" s="1">
        <v>37613</v>
      </c>
      <c r="N831">
        <v>2002</v>
      </c>
    </row>
    <row r="832" spans="1:14">
      <c r="A832" t="s">
        <v>14</v>
      </c>
      <c r="B832" t="str">
        <f>"111905200200"</f>
        <v>111905200200</v>
      </c>
      <c r="C832" t="s">
        <v>812</v>
      </c>
      <c r="D832" t="s">
        <v>95</v>
      </c>
      <c r="G832" t="s">
        <v>17</v>
      </c>
      <c r="H832" t="s">
        <v>51</v>
      </c>
      <c r="I832" t="s">
        <v>45</v>
      </c>
      <c r="J832" t="s">
        <v>46</v>
      </c>
      <c r="K832" t="s">
        <v>230</v>
      </c>
      <c r="L832" t="s">
        <v>22</v>
      </c>
      <c r="M832" s="1">
        <v>37395</v>
      </c>
      <c r="N832">
        <v>2002</v>
      </c>
    </row>
    <row r="833" spans="1:14">
      <c r="A833" t="s">
        <v>14</v>
      </c>
      <c r="B833" t="str">
        <f>"111212200200"</f>
        <v>111212200200</v>
      </c>
      <c r="C833" t="s">
        <v>853</v>
      </c>
      <c r="D833" t="s">
        <v>53</v>
      </c>
      <c r="G833" t="s">
        <v>17</v>
      </c>
      <c r="H833" t="s">
        <v>51</v>
      </c>
      <c r="I833" t="s">
        <v>45</v>
      </c>
      <c r="J833" t="s">
        <v>46</v>
      </c>
      <c r="K833" t="s">
        <v>179</v>
      </c>
      <c r="M833" s="1">
        <v>37602</v>
      </c>
      <c r="N833">
        <v>2002</v>
      </c>
    </row>
    <row r="834" spans="1:14">
      <c r="A834" t="s">
        <v>14</v>
      </c>
      <c r="B834" t="str">
        <f>"111307200301"</f>
        <v>111307200301</v>
      </c>
      <c r="C834" t="s">
        <v>876</v>
      </c>
      <c r="D834" t="s">
        <v>382</v>
      </c>
      <c r="G834" t="s">
        <v>17</v>
      </c>
      <c r="H834" t="s">
        <v>51</v>
      </c>
      <c r="I834" t="s">
        <v>45</v>
      </c>
      <c r="J834" t="s">
        <v>46</v>
      </c>
      <c r="K834" t="s">
        <v>629</v>
      </c>
      <c r="L834" t="s">
        <v>22</v>
      </c>
      <c r="M834" s="1">
        <v>37815</v>
      </c>
      <c r="N834">
        <v>2003</v>
      </c>
    </row>
    <row r="835" spans="1:14">
      <c r="A835" t="s">
        <v>14</v>
      </c>
      <c r="B835" t="str">
        <f>"111710200301"</f>
        <v>111710200301</v>
      </c>
      <c r="C835" t="s">
        <v>1094</v>
      </c>
      <c r="D835" t="s">
        <v>531</v>
      </c>
      <c r="G835" t="s">
        <v>17</v>
      </c>
      <c r="H835" t="s">
        <v>51</v>
      </c>
      <c r="I835" t="s">
        <v>45</v>
      </c>
      <c r="J835" t="s">
        <v>46</v>
      </c>
      <c r="K835" t="s">
        <v>47</v>
      </c>
      <c r="L835" t="s">
        <v>22</v>
      </c>
      <c r="M835" s="1">
        <v>37911</v>
      </c>
      <c r="N835">
        <v>2003</v>
      </c>
    </row>
    <row r="836" spans="1:14">
      <c r="A836" t="s">
        <v>14</v>
      </c>
      <c r="B836" t="str">
        <f>"111904200200"</f>
        <v>111904200200</v>
      </c>
      <c r="C836" t="s">
        <v>1142</v>
      </c>
      <c r="D836" t="s">
        <v>535</v>
      </c>
      <c r="G836" t="s">
        <v>17</v>
      </c>
      <c r="H836" t="s">
        <v>51</v>
      </c>
      <c r="I836" t="s">
        <v>45</v>
      </c>
      <c r="J836" t="s">
        <v>46</v>
      </c>
      <c r="K836" t="s">
        <v>47</v>
      </c>
      <c r="L836" t="s">
        <v>22</v>
      </c>
      <c r="M836" s="1">
        <v>37365</v>
      </c>
      <c r="N836">
        <v>2002</v>
      </c>
    </row>
    <row r="837" spans="1:14">
      <c r="A837" t="s">
        <v>14</v>
      </c>
      <c r="B837" t="str">
        <f>"110705200300"</f>
        <v>110705200300</v>
      </c>
      <c r="C837" t="s">
        <v>1202</v>
      </c>
      <c r="D837" t="s">
        <v>120</v>
      </c>
      <c r="G837" t="s">
        <v>17</v>
      </c>
      <c r="H837" t="s">
        <v>51</v>
      </c>
      <c r="I837" t="s">
        <v>45</v>
      </c>
      <c r="J837" t="s">
        <v>46</v>
      </c>
      <c r="K837" t="s">
        <v>47</v>
      </c>
      <c r="L837" t="s">
        <v>202</v>
      </c>
      <c r="M837" s="1">
        <v>37748</v>
      </c>
      <c r="N837">
        <v>2003</v>
      </c>
    </row>
    <row r="838" spans="1:14">
      <c r="A838" t="s">
        <v>14</v>
      </c>
      <c r="B838" t="str">
        <f>"111401200200"</f>
        <v>111401200200</v>
      </c>
      <c r="C838" t="s">
        <v>1572</v>
      </c>
      <c r="D838" t="s">
        <v>382</v>
      </c>
      <c r="G838" t="s">
        <v>17</v>
      </c>
      <c r="H838" t="s">
        <v>51</v>
      </c>
      <c r="I838" t="s">
        <v>45</v>
      </c>
      <c r="J838" t="s">
        <v>46</v>
      </c>
      <c r="K838" t="s">
        <v>491</v>
      </c>
      <c r="L838" t="s">
        <v>22</v>
      </c>
      <c r="M838" s="1">
        <v>37270</v>
      </c>
      <c r="N838">
        <v>2002</v>
      </c>
    </row>
    <row r="839" spans="1:14">
      <c r="A839" t="s">
        <v>14</v>
      </c>
      <c r="B839" t="str">
        <f>"112405200201"</f>
        <v>112405200201</v>
      </c>
      <c r="C839" t="s">
        <v>1576</v>
      </c>
      <c r="D839" t="s">
        <v>98</v>
      </c>
      <c r="G839" t="s">
        <v>17</v>
      </c>
      <c r="H839" t="s">
        <v>51</v>
      </c>
      <c r="I839" t="s">
        <v>45</v>
      </c>
      <c r="J839" t="s">
        <v>46</v>
      </c>
      <c r="K839" t="s">
        <v>946</v>
      </c>
      <c r="L839" t="s">
        <v>63</v>
      </c>
      <c r="M839" s="1">
        <v>37400</v>
      </c>
      <c r="N839">
        <v>2002</v>
      </c>
    </row>
    <row r="840" spans="1:14">
      <c r="A840" t="s">
        <v>14</v>
      </c>
      <c r="B840" t="str">
        <f>"113110200300"</f>
        <v>113110200300</v>
      </c>
      <c r="C840" t="s">
        <v>1663</v>
      </c>
      <c r="D840" t="s">
        <v>221</v>
      </c>
      <c r="G840" t="s">
        <v>17</v>
      </c>
      <c r="H840" t="s">
        <v>51</v>
      </c>
      <c r="I840" t="s">
        <v>45</v>
      </c>
      <c r="J840" t="s">
        <v>46</v>
      </c>
      <c r="K840" t="s">
        <v>47</v>
      </c>
      <c r="L840" t="s">
        <v>22</v>
      </c>
      <c r="M840" s="1">
        <v>37925</v>
      </c>
      <c r="N840">
        <v>2003</v>
      </c>
    </row>
    <row r="841" spans="1:14">
      <c r="A841" t="s">
        <v>14</v>
      </c>
      <c r="B841" t="str">
        <f>"111608200300"</f>
        <v>111608200300</v>
      </c>
      <c r="C841" t="s">
        <v>1991</v>
      </c>
      <c r="D841" t="s">
        <v>24</v>
      </c>
      <c r="G841" t="s">
        <v>17</v>
      </c>
      <c r="H841" t="s">
        <v>51</v>
      </c>
      <c r="I841" t="s">
        <v>45</v>
      </c>
      <c r="J841" t="s">
        <v>46</v>
      </c>
      <c r="K841" t="s">
        <v>629</v>
      </c>
      <c r="L841" t="s">
        <v>22</v>
      </c>
      <c r="M841" s="1">
        <v>37849</v>
      </c>
      <c r="N841">
        <v>2003</v>
      </c>
    </row>
    <row r="842" spans="1:14">
      <c r="A842" t="s">
        <v>14</v>
      </c>
      <c r="B842" t="str">
        <f>"111205200300"</f>
        <v>111205200300</v>
      </c>
      <c r="C842" t="s">
        <v>2173</v>
      </c>
      <c r="D842" t="s">
        <v>531</v>
      </c>
      <c r="G842" t="s">
        <v>17</v>
      </c>
      <c r="H842" t="s">
        <v>51</v>
      </c>
      <c r="I842" t="s">
        <v>45</v>
      </c>
      <c r="J842" t="s">
        <v>46</v>
      </c>
      <c r="K842" t="s">
        <v>629</v>
      </c>
      <c r="L842" t="s">
        <v>22</v>
      </c>
      <c r="M842" s="1">
        <v>37753</v>
      </c>
      <c r="N842">
        <v>2003</v>
      </c>
    </row>
    <row r="843" spans="1:14">
      <c r="A843" t="s">
        <v>14</v>
      </c>
      <c r="B843" t="str">
        <f>"112404200300"</f>
        <v>112404200300</v>
      </c>
      <c r="C843" t="s">
        <v>2351</v>
      </c>
      <c r="D843" t="s">
        <v>534</v>
      </c>
      <c r="G843" t="s">
        <v>17</v>
      </c>
      <c r="H843" t="s">
        <v>51</v>
      </c>
      <c r="I843" t="s">
        <v>45</v>
      </c>
      <c r="J843" t="s">
        <v>46</v>
      </c>
      <c r="K843" t="s">
        <v>47</v>
      </c>
      <c r="L843" t="s">
        <v>22</v>
      </c>
      <c r="M843" s="1">
        <v>37735</v>
      </c>
      <c r="N843">
        <v>2003</v>
      </c>
    </row>
    <row r="844" spans="1:14">
      <c r="A844" t="s">
        <v>14</v>
      </c>
      <c r="B844" t="str">
        <f>"111706200302"</f>
        <v>111706200302</v>
      </c>
      <c r="C844" t="s">
        <v>2501</v>
      </c>
      <c r="D844" t="s">
        <v>95</v>
      </c>
      <c r="G844" t="s">
        <v>17</v>
      </c>
      <c r="H844" t="s">
        <v>51</v>
      </c>
      <c r="I844" t="s">
        <v>45</v>
      </c>
      <c r="J844" t="s">
        <v>46</v>
      </c>
      <c r="K844" t="s">
        <v>179</v>
      </c>
      <c r="L844" t="s">
        <v>22</v>
      </c>
      <c r="M844" s="1">
        <v>37789</v>
      </c>
      <c r="N844">
        <v>2003</v>
      </c>
    </row>
    <row r="845" spans="1:14">
      <c r="A845" t="s">
        <v>14</v>
      </c>
      <c r="B845" t="str">
        <f>"110305200200"</f>
        <v>110305200200</v>
      </c>
      <c r="C845" t="s">
        <v>2560</v>
      </c>
      <c r="D845" t="s">
        <v>2561</v>
      </c>
      <c r="G845" t="s">
        <v>17</v>
      </c>
      <c r="H845" t="s">
        <v>51</v>
      </c>
      <c r="I845" t="s">
        <v>45</v>
      </c>
      <c r="J845" t="s">
        <v>46</v>
      </c>
      <c r="K845" t="s">
        <v>367</v>
      </c>
      <c r="L845" t="s">
        <v>22</v>
      </c>
      <c r="M845" s="1">
        <v>37379</v>
      </c>
      <c r="N845">
        <v>2002</v>
      </c>
    </row>
    <row r="846" spans="1:14">
      <c r="A846" t="s">
        <v>14</v>
      </c>
      <c r="B846" t="str">
        <f>"112106200201"</f>
        <v>112106200201</v>
      </c>
      <c r="C846" t="s">
        <v>2737</v>
      </c>
      <c r="D846" t="s">
        <v>24</v>
      </c>
      <c r="G846" t="s">
        <v>17</v>
      </c>
      <c r="H846" t="s">
        <v>51</v>
      </c>
      <c r="I846" t="s">
        <v>45</v>
      </c>
      <c r="J846" t="s">
        <v>46</v>
      </c>
      <c r="K846" t="s">
        <v>47</v>
      </c>
      <c r="L846" t="s">
        <v>22</v>
      </c>
      <c r="M846" s="1">
        <v>37428</v>
      </c>
      <c r="N846">
        <v>2002</v>
      </c>
    </row>
    <row r="847" spans="1:14">
      <c r="A847" t="s">
        <v>14</v>
      </c>
      <c r="B847" t="str">
        <f>"112205200303"</f>
        <v>112205200303</v>
      </c>
      <c r="C847" t="s">
        <v>2792</v>
      </c>
      <c r="D847" t="s">
        <v>24</v>
      </c>
      <c r="G847" t="s">
        <v>17</v>
      </c>
      <c r="H847" t="s">
        <v>51</v>
      </c>
      <c r="I847" t="s">
        <v>45</v>
      </c>
      <c r="J847" t="s">
        <v>46</v>
      </c>
      <c r="K847" t="s">
        <v>2793</v>
      </c>
      <c r="L847" t="s">
        <v>63</v>
      </c>
      <c r="M847" s="1">
        <v>37763</v>
      </c>
      <c r="N847">
        <v>2003</v>
      </c>
    </row>
    <row r="848" spans="1:14">
      <c r="A848" t="s">
        <v>14</v>
      </c>
      <c r="B848" t="str">
        <f>"110606200301"</f>
        <v>110606200301</v>
      </c>
      <c r="C848" t="s">
        <v>2924</v>
      </c>
      <c r="D848" t="s">
        <v>782</v>
      </c>
      <c r="G848" t="s">
        <v>17</v>
      </c>
      <c r="H848" t="s">
        <v>51</v>
      </c>
      <c r="I848" t="s">
        <v>45</v>
      </c>
      <c r="J848" t="s">
        <v>46</v>
      </c>
      <c r="K848" t="s">
        <v>179</v>
      </c>
      <c r="L848" t="s">
        <v>63</v>
      </c>
      <c r="M848" s="1">
        <v>37778</v>
      </c>
      <c r="N848">
        <v>2003</v>
      </c>
    </row>
    <row r="849" spans="1:14">
      <c r="A849" t="s">
        <v>14</v>
      </c>
      <c r="B849" t="str">
        <f>"122812199600"</f>
        <v>122812199600</v>
      </c>
      <c r="C849" t="s">
        <v>995</v>
      </c>
      <c r="D849" t="s">
        <v>611</v>
      </c>
      <c r="G849" t="s">
        <v>32</v>
      </c>
      <c r="H849" t="s">
        <v>59</v>
      </c>
      <c r="I849" t="s">
        <v>996</v>
      </c>
      <c r="J849" t="s">
        <v>46</v>
      </c>
      <c r="K849" t="s">
        <v>47</v>
      </c>
      <c r="L849" t="s">
        <v>48</v>
      </c>
      <c r="M849" s="1">
        <v>35427</v>
      </c>
      <c r="N849">
        <v>1996</v>
      </c>
    </row>
    <row r="850" spans="1:14">
      <c r="A850" t="s">
        <v>14</v>
      </c>
      <c r="B850" t="str">
        <f>"122609200400"</f>
        <v>122609200400</v>
      </c>
      <c r="C850" t="s">
        <v>864</v>
      </c>
      <c r="D850" t="s">
        <v>865</v>
      </c>
      <c r="G850" t="s">
        <v>32</v>
      </c>
      <c r="H850" t="s">
        <v>33</v>
      </c>
      <c r="I850" t="s">
        <v>60</v>
      </c>
      <c r="J850" t="s">
        <v>61</v>
      </c>
      <c r="K850" t="s">
        <v>394</v>
      </c>
      <c r="M850" s="1">
        <v>38256</v>
      </c>
      <c r="N850">
        <v>2004</v>
      </c>
    </row>
    <row r="851" spans="1:14">
      <c r="A851" t="s">
        <v>14</v>
      </c>
      <c r="B851" t="str">
        <f>"120808200400"</f>
        <v>120808200400</v>
      </c>
      <c r="C851" t="s">
        <v>1276</v>
      </c>
      <c r="D851" t="s">
        <v>263</v>
      </c>
      <c r="G851" t="s">
        <v>32</v>
      </c>
      <c r="H851" t="s">
        <v>33</v>
      </c>
      <c r="I851" t="s">
        <v>60</v>
      </c>
      <c r="J851" t="s">
        <v>61</v>
      </c>
      <c r="K851" t="s">
        <v>62</v>
      </c>
      <c r="L851" t="s">
        <v>22</v>
      </c>
      <c r="M851" s="1">
        <v>38207</v>
      </c>
      <c r="N851">
        <v>2004</v>
      </c>
    </row>
    <row r="852" spans="1:14">
      <c r="A852" t="s">
        <v>14</v>
      </c>
      <c r="B852" t="str">
        <f>"120908200400"</f>
        <v>120908200400</v>
      </c>
      <c r="C852" t="s">
        <v>1464</v>
      </c>
      <c r="D852" t="s">
        <v>127</v>
      </c>
      <c r="G852" t="s">
        <v>32</v>
      </c>
      <c r="H852" t="s">
        <v>33</v>
      </c>
      <c r="I852" t="s">
        <v>60</v>
      </c>
      <c r="J852" t="s">
        <v>61</v>
      </c>
      <c r="K852" t="s">
        <v>62</v>
      </c>
      <c r="L852" t="s">
        <v>22</v>
      </c>
      <c r="M852" s="1">
        <v>38208</v>
      </c>
      <c r="N852">
        <v>2004</v>
      </c>
    </row>
    <row r="853" spans="1:14">
      <c r="A853" t="s">
        <v>14</v>
      </c>
      <c r="B853" t="str">
        <f>"122502200402"</f>
        <v>122502200402</v>
      </c>
      <c r="C853" t="s">
        <v>1624</v>
      </c>
      <c r="D853" t="s">
        <v>1625</v>
      </c>
      <c r="G853" t="s">
        <v>32</v>
      </c>
      <c r="H853" t="s">
        <v>33</v>
      </c>
      <c r="I853" t="s">
        <v>60</v>
      </c>
      <c r="J853" t="s">
        <v>61</v>
      </c>
      <c r="K853" t="s">
        <v>62</v>
      </c>
      <c r="L853" t="s">
        <v>22</v>
      </c>
      <c r="M853" s="1">
        <v>38042</v>
      </c>
      <c r="N853">
        <v>2004</v>
      </c>
    </row>
    <row r="854" spans="1:14">
      <c r="A854" t="s">
        <v>14</v>
      </c>
      <c r="B854" t="str">
        <f>"120309200200"</f>
        <v>120309200200</v>
      </c>
      <c r="C854" t="s">
        <v>649</v>
      </c>
      <c r="D854" t="s">
        <v>58</v>
      </c>
      <c r="G854" t="s">
        <v>32</v>
      </c>
      <c r="H854" t="s">
        <v>65</v>
      </c>
      <c r="I854" t="s">
        <v>60</v>
      </c>
      <c r="J854" t="s">
        <v>61</v>
      </c>
      <c r="K854" t="s">
        <v>62</v>
      </c>
      <c r="L854" t="s">
        <v>63</v>
      </c>
      <c r="M854" s="1">
        <v>37502</v>
      </c>
      <c r="N854">
        <v>2002</v>
      </c>
    </row>
    <row r="855" spans="1:14">
      <c r="A855" t="s">
        <v>14</v>
      </c>
      <c r="B855" t="str">
        <f>"122101200300"</f>
        <v>122101200300</v>
      </c>
      <c r="C855" t="s">
        <v>1276</v>
      </c>
      <c r="D855" t="s">
        <v>184</v>
      </c>
      <c r="G855" t="s">
        <v>32</v>
      </c>
      <c r="H855" t="s">
        <v>65</v>
      </c>
      <c r="I855" t="s">
        <v>60</v>
      </c>
      <c r="J855" t="s">
        <v>61</v>
      </c>
      <c r="K855" t="s">
        <v>394</v>
      </c>
      <c r="L855" t="s">
        <v>22</v>
      </c>
      <c r="M855" s="1">
        <v>37642</v>
      </c>
      <c r="N855">
        <v>2003</v>
      </c>
    </row>
    <row r="856" spans="1:14">
      <c r="A856" t="s">
        <v>14</v>
      </c>
      <c r="B856" t="str">
        <f>"122305200300"</f>
        <v>122305200300</v>
      </c>
      <c r="C856" t="s">
        <v>1667</v>
      </c>
      <c r="D856" t="s">
        <v>233</v>
      </c>
      <c r="G856" t="s">
        <v>32</v>
      </c>
      <c r="H856" t="s">
        <v>65</v>
      </c>
      <c r="I856" t="s">
        <v>60</v>
      </c>
      <c r="J856" t="s">
        <v>61</v>
      </c>
      <c r="K856" t="s">
        <v>62</v>
      </c>
      <c r="L856" t="s">
        <v>63</v>
      </c>
      <c r="M856" s="1">
        <v>37764</v>
      </c>
      <c r="N856">
        <v>2003</v>
      </c>
    </row>
    <row r="857" spans="1:14">
      <c r="A857" t="s">
        <v>14</v>
      </c>
      <c r="B857" t="str">
        <f>"121606200201"</f>
        <v>121606200201</v>
      </c>
      <c r="C857" t="s">
        <v>2350</v>
      </c>
      <c r="D857" t="s">
        <v>353</v>
      </c>
      <c r="G857" t="s">
        <v>32</v>
      </c>
      <c r="H857" t="s">
        <v>65</v>
      </c>
      <c r="I857" t="s">
        <v>60</v>
      </c>
      <c r="J857" t="s">
        <v>61</v>
      </c>
      <c r="K857" t="s">
        <v>394</v>
      </c>
      <c r="L857" t="s">
        <v>22</v>
      </c>
      <c r="M857" s="1">
        <v>37423</v>
      </c>
      <c r="N857">
        <v>2002</v>
      </c>
    </row>
    <row r="858" spans="1:14">
      <c r="A858" t="s">
        <v>14</v>
      </c>
      <c r="B858" t="str">
        <f>"121109200300"</f>
        <v>121109200300</v>
      </c>
      <c r="C858" t="s">
        <v>2357</v>
      </c>
      <c r="D858" t="s">
        <v>611</v>
      </c>
      <c r="G858" t="s">
        <v>32</v>
      </c>
      <c r="H858" t="s">
        <v>65</v>
      </c>
      <c r="I858" t="s">
        <v>60</v>
      </c>
      <c r="J858" t="s">
        <v>61</v>
      </c>
      <c r="K858" t="s">
        <v>62</v>
      </c>
      <c r="L858" t="s">
        <v>63</v>
      </c>
      <c r="M858" s="1">
        <v>37875</v>
      </c>
      <c r="N858">
        <v>2003</v>
      </c>
    </row>
    <row r="859" spans="1:14">
      <c r="A859" t="s">
        <v>14</v>
      </c>
      <c r="B859" t="str">
        <f>"120311200300"</f>
        <v>120311200300</v>
      </c>
      <c r="C859" t="s">
        <v>2929</v>
      </c>
      <c r="D859" t="s">
        <v>143</v>
      </c>
      <c r="G859" t="s">
        <v>32</v>
      </c>
      <c r="H859" t="s">
        <v>65</v>
      </c>
      <c r="I859" t="s">
        <v>60</v>
      </c>
      <c r="J859" t="s">
        <v>61</v>
      </c>
      <c r="K859" t="s">
        <v>394</v>
      </c>
      <c r="L859" t="s">
        <v>22</v>
      </c>
      <c r="M859" s="1">
        <v>37928</v>
      </c>
      <c r="N859">
        <v>2003</v>
      </c>
    </row>
    <row r="860" spans="1:14">
      <c r="A860" t="s">
        <v>14</v>
      </c>
      <c r="B860" t="str">
        <f>"123103199600"</f>
        <v>123103199600</v>
      </c>
      <c r="C860" t="s">
        <v>57</v>
      </c>
      <c r="D860" t="s">
        <v>58</v>
      </c>
      <c r="G860" t="s">
        <v>32</v>
      </c>
      <c r="H860" t="s">
        <v>59</v>
      </c>
      <c r="I860" t="s">
        <v>60</v>
      </c>
      <c r="J860" t="s">
        <v>61</v>
      </c>
      <c r="K860" t="s">
        <v>62</v>
      </c>
      <c r="L860" t="s">
        <v>63</v>
      </c>
      <c r="M860" s="1">
        <v>35155</v>
      </c>
      <c r="N860">
        <v>1996</v>
      </c>
    </row>
    <row r="861" spans="1:14">
      <c r="A861" t="s">
        <v>14</v>
      </c>
      <c r="B861" t="str">
        <f>"123001199800"</f>
        <v>123001199800</v>
      </c>
      <c r="C861" t="s">
        <v>219</v>
      </c>
      <c r="D861" t="s">
        <v>31</v>
      </c>
      <c r="G861" t="s">
        <v>32</v>
      </c>
      <c r="H861" t="s">
        <v>59</v>
      </c>
      <c r="I861" t="s">
        <v>60</v>
      </c>
      <c r="J861" t="s">
        <v>61</v>
      </c>
      <c r="K861" t="s">
        <v>62</v>
      </c>
      <c r="L861" t="s">
        <v>63</v>
      </c>
      <c r="M861" s="1">
        <v>35825</v>
      </c>
      <c r="N861">
        <v>1998</v>
      </c>
    </row>
    <row r="862" spans="1:14">
      <c r="A862" t="s">
        <v>14</v>
      </c>
      <c r="B862" t="str">
        <f>"122706199601"</f>
        <v>122706199601</v>
      </c>
      <c r="C862" t="s">
        <v>937</v>
      </c>
      <c r="D862" t="s">
        <v>938</v>
      </c>
      <c r="G862" t="s">
        <v>32</v>
      </c>
      <c r="H862" t="s">
        <v>59</v>
      </c>
      <c r="I862" t="s">
        <v>60</v>
      </c>
      <c r="J862" t="s">
        <v>61</v>
      </c>
      <c r="K862" t="s">
        <v>394</v>
      </c>
      <c r="L862" t="s">
        <v>63</v>
      </c>
      <c r="M862" s="1">
        <v>35243</v>
      </c>
      <c r="N862">
        <v>1996</v>
      </c>
    </row>
    <row r="863" spans="1:14">
      <c r="A863" t="s">
        <v>14</v>
      </c>
      <c r="B863" t="str">
        <f>"122706199602"</f>
        <v>122706199602</v>
      </c>
      <c r="C863" t="s">
        <v>937</v>
      </c>
      <c r="D863" t="s">
        <v>609</v>
      </c>
      <c r="G863" t="s">
        <v>32</v>
      </c>
      <c r="H863" t="s">
        <v>59</v>
      </c>
      <c r="I863" t="s">
        <v>60</v>
      </c>
      <c r="J863" t="s">
        <v>61</v>
      </c>
      <c r="K863" t="s">
        <v>394</v>
      </c>
      <c r="L863" t="s">
        <v>63</v>
      </c>
      <c r="M863" s="1">
        <v>35243</v>
      </c>
      <c r="N863">
        <v>1996</v>
      </c>
    </row>
    <row r="864" spans="1:14">
      <c r="A864" t="s">
        <v>14</v>
      </c>
      <c r="B864" t="str">
        <f>"121307199400"</f>
        <v>121307199400</v>
      </c>
      <c r="C864" t="s">
        <v>1033</v>
      </c>
      <c r="D864" t="s">
        <v>127</v>
      </c>
      <c r="G864" t="s">
        <v>32</v>
      </c>
      <c r="H864" t="s">
        <v>59</v>
      </c>
      <c r="I864" t="s">
        <v>60</v>
      </c>
      <c r="J864" t="s">
        <v>61</v>
      </c>
      <c r="K864" t="s">
        <v>394</v>
      </c>
      <c r="L864" t="s">
        <v>48</v>
      </c>
      <c r="M864" s="1">
        <v>34528</v>
      </c>
      <c r="N864">
        <v>1994</v>
      </c>
    </row>
    <row r="865" spans="1:14">
      <c r="A865" t="s">
        <v>14</v>
      </c>
      <c r="B865" t="str">
        <f>"122405199600"</f>
        <v>122405199600</v>
      </c>
      <c r="C865" t="s">
        <v>1809</v>
      </c>
      <c r="D865" t="s">
        <v>152</v>
      </c>
      <c r="G865" t="s">
        <v>32</v>
      </c>
      <c r="H865" t="s">
        <v>59</v>
      </c>
      <c r="I865" t="s">
        <v>60</v>
      </c>
      <c r="J865" t="s">
        <v>61</v>
      </c>
      <c r="K865" t="s">
        <v>62</v>
      </c>
      <c r="L865" t="s">
        <v>22</v>
      </c>
      <c r="M865" s="1">
        <v>35209</v>
      </c>
      <c r="N865">
        <v>1996</v>
      </c>
    </row>
    <row r="866" spans="1:14">
      <c r="A866" t="s">
        <v>14</v>
      </c>
      <c r="B866" t="str">
        <f>"122608199801"</f>
        <v>122608199801</v>
      </c>
      <c r="C866" t="s">
        <v>2123</v>
      </c>
      <c r="D866" t="s">
        <v>510</v>
      </c>
      <c r="G866" t="s">
        <v>32</v>
      </c>
      <c r="H866" t="s">
        <v>59</v>
      </c>
      <c r="I866" t="s">
        <v>60</v>
      </c>
      <c r="J866" t="s">
        <v>61</v>
      </c>
      <c r="K866" t="s">
        <v>62</v>
      </c>
      <c r="L866" t="s">
        <v>63</v>
      </c>
      <c r="M866" s="1">
        <v>36033</v>
      </c>
      <c r="N866">
        <v>1998</v>
      </c>
    </row>
    <row r="867" spans="1:14">
      <c r="A867" t="s">
        <v>14</v>
      </c>
      <c r="B867" t="str">
        <f>"120303199800"</f>
        <v>120303199800</v>
      </c>
      <c r="C867" t="s">
        <v>2201</v>
      </c>
      <c r="D867" t="s">
        <v>970</v>
      </c>
      <c r="G867" t="s">
        <v>32</v>
      </c>
      <c r="H867" t="s">
        <v>59</v>
      </c>
      <c r="I867" t="s">
        <v>60</v>
      </c>
      <c r="J867" t="s">
        <v>61</v>
      </c>
      <c r="K867" t="s">
        <v>394</v>
      </c>
      <c r="L867" t="s">
        <v>63</v>
      </c>
      <c r="M867" s="1">
        <v>35857</v>
      </c>
      <c r="N867">
        <v>1998</v>
      </c>
    </row>
    <row r="868" spans="1:14">
      <c r="A868" t="s">
        <v>14</v>
      </c>
      <c r="B868" t="str">
        <f>"120404199700"</f>
        <v>120404199700</v>
      </c>
      <c r="C868" t="s">
        <v>2780</v>
      </c>
      <c r="D868" t="s">
        <v>232</v>
      </c>
      <c r="G868" t="s">
        <v>32</v>
      </c>
      <c r="H868" t="s">
        <v>59</v>
      </c>
      <c r="I868" t="s">
        <v>60</v>
      </c>
      <c r="J868" t="s">
        <v>61</v>
      </c>
      <c r="K868" t="s">
        <v>62</v>
      </c>
      <c r="L868" t="s">
        <v>63</v>
      </c>
      <c r="M868" s="1">
        <v>35524</v>
      </c>
      <c r="N868">
        <v>1997</v>
      </c>
    </row>
    <row r="869" spans="1:14">
      <c r="A869" t="s">
        <v>14</v>
      </c>
      <c r="B869" t="str">
        <f>"122405199601"</f>
        <v>122405199601</v>
      </c>
      <c r="C869" t="s">
        <v>2941</v>
      </c>
      <c r="D869" t="s">
        <v>139</v>
      </c>
      <c r="G869" t="s">
        <v>32</v>
      </c>
      <c r="H869" t="s">
        <v>59</v>
      </c>
      <c r="I869" t="s">
        <v>60</v>
      </c>
      <c r="J869" t="s">
        <v>61</v>
      </c>
      <c r="K869" t="s">
        <v>62</v>
      </c>
      <c r="L869" t="s">
        <v>202</v>
      </c>
      <c r="M869" s="1">
        <v>35209</v>
      </c>
      <c r="N869">
        <v>1996</v>
      </c>
    </row>
    <row r="870" spans="1:14">
      <c r="A870" t="s">
        <v>14</v>
      </c>
      <c r="B870" t="str">
        <f>"120410200101"</f>
        <v>120410200101</v>
      </c>
      <c r="C870" t="s">
        <v>393</v>
      </c>
      <c r="D870" t="s">
        <v>310</v>
      </c>
      <c r="G870" t="s">
        <v>32</v>
      </c>
      <c r="H870" t="s">
        <v>44</v>
      </c>
      <c r="I870" t="s">
        <v>60</v>
      </c>
      <c r="J870" t="s">
        <v>61</v>
      </c>
      <c r="K870" t="s">
        <v>394</v>
      </c>
      <c r="M870" s="1">
        <v>37168</v>
      </c>
      <c r="N870">
        <v>2001</v>
      </c>
    </row>
    <row r="871" spans="1:14">
      <c r="A871" t="s">
        <v>14</v>
      </c>
      <c r="B871" t="str">
        <f>"120611200001"</f>
        <v>120611200001</v>
      </c>
      <c r="C871" t="s">
        <v>997</v>
      </c>
      <c r="D871" t="s">
        <v>421</v>
      </c>
      <c r="G871" t="s">
        <v>32</v>
      </c>
      <c r="H871" t="s">
        <v>44</v>
      </c>
      <c r="I871" t="s">
        <v>60</v>
      </c>
      <c r="J871" t="s">
        <v>61</v>
      </c>
      <c r="K871" t="s">
        <v>394</v>
      </c>
      <c r="M871" s="1">
        <v>36836</v>
      </c>
      <c r="N871">
        <v>2000</v>
      </c>
    </row>
    <row r="872" spans="1:14">
      <c r="A872" t="s">
        <v>14</v>
      </c>
      <c r="B872" t="str">
        <f>"120904199901"</f>
        <v>120904199901</v>
      </c>
      <c r="C872" t="s">
        <v>1119</v>
      </c>
      <c r="D872" t="s">
        <v>1120</v>
      </c>
      <c r="G872" t="s">
        <v>32</v>
      </c>
      <c r="H872" t="s">
        <v>44</v>
      </c>
      <c r="I872" t="s">
        <v>60</v>
      </c>
      <c r="J872" t="s">
        <v>61</v>
      </c>
      <c r="K872" t="s">
        <v>394</v>
      </c>
      <c r="L872" t="s">
        <v>63</v>
      </c>
      <c r="M872" s="1">
        <v>36259</v>
      </c>
      <c r="N872">
        <v>1999</v>
      </c>
    </row>
    <row r="873" spans="1:14">
      <c r="A873" t="s">
        <v>14</v>
      </c>
      <c r="B873" t="str">
        <f>"120510199900"</f>
        <v>120510199900</v>
      </c>
      <c r="C873" t="s">
        <v>1265</v>
      </c>
      <c r="D873" t="s">
        <v>58</v>
      </c>
      <c r="G873" t="s">
        <v>32</v>
      </c>
      <c r="H873" t="s">
        <v>44</v>
      </c>
      <c r="I873" t="s">
        <v>60</v>
      </c>
      <c r="J873" t="s">
        <v>61</v>
      </c>
      <c r="K873" t="s">
        <v>62</v>
      </c>
      <c r="L873" t="s">
        <v>63</v>
      </c>
      <c r="M873" s="1">
        <v>36438</v>
      </c>
      <c r="N873">
        <v>1999</v>
      </c>
    </row>
    <row r="874" spans="1:14">
      <c r="A874" t="s">
        <v>14</v>
      </c>
      <c r="B874" t="str">
        <f>"122510200100"</f>
        <v>122510200100</v>
      </c>
      <c r="C874" t="s">
        <v>1651</v>
      </c>
      <c r="D874" t="s">
        <v>58</v>
      </c>
      <c r="G874" t="s">
        <v>32</v>
      </c>
      <c r="H874" t="s">
        <v>44</v>
      </c>
      <c r="I874" t="s">
        <v>60</v>
      </c>
      <c r="J874" t="s">
        <v>61</v>
      </c>
      <c r="K874" t="s">
        <v>62</v>
      </c>
      <c r="L874" t="s">
        <v>63</v>
      </c>
      <c r="M874" s="1">
        <v>37189</v>
      </c>
      <c r="N874">
        <v>2001</v>
      </c>
    </row>
    <row r="875" spans="1:14">
      <c r="A875" t="s">
        <v>14</v>
      </c>
      <c r="B875" t="str">
        <f>"122701200101"</f>
        <v>122701200101</v>
      </c>
      <c r="C875" t="s">
        <v>1724</v>
      </c>
      <c r="D875" t="s">
        <v>1725</v>
      </c>
      <c r="G875" t="s">
        <v>32</v>
      </c>
      <c r="H875" t="s">
        <v>44</v>
      </c>
      <c r="I875" t="s">
        <v>60</v>
      </c>
      <c r="J875" t="s">
        <v>61</v>
      </c>
      <c r="K875" t="s">
        <v>62</v>
      </c>
      <c r="L875" t="s">
        <v>48</v>
      </c>
      <c r="M875" s="1">
        <v>36918</v>
      </c>
      <c r="N875">
        <v>2001</v>
      </c>
    </row>
    <row r="876" spans="1:14">
      <c r="A876" t="s">
        <v>14</v>
      </c>
      <c r="B876" t="str">
        <f>"120208200101"</f>
        <v>120208200101</v>
      </c>
      <c r="C876" t="s">
        <v>1736</v>
      </c>
      <c r="D876" t="s">
        <v>184</v>
      </c>
      <c r="G876" t="s">
        <v>32</v>
      </c>
      <c r="H876" t="s">
        <v>44</v>
      </c>
      <c r="I876" t="s">
        <v>60</v>
      </c>
      <c r="J876" t="s">
        <v>61</v>
      </c>
      <c r="K876" t="s">
        <v>62</v>
      </c>
      <c r="M876" s="1">
        <v>37105</v>
      </c>
      <c r="N876">
        <v>2001</v>
      </c>
    </row>
    <row r="877" spans="1:14">
      <c r="A877" t="s">
        <v>14</v>
      </c>
      <c r="B877" t="str">
        <f>"122705199901"</f>
        <v>122705199901</v>
      </c>
      <c r="C877" t="s">
        <v>1737</v>
      </c>
      <c r="D877" t="s">
        <v>380</v>
      </c>
      <c r="G877" t="s">
        <v>32</v>
      </c>
      <c r="H877" t="s">
        <v>44</v>
      </c>
      <c r="I877" t="s">
        <v>60</v>
      </c>
      <c r="J877" t="s">
        <v>61</v>
      </c>
      <c r="K877" t="s">
        <v>62</v>
      </c>
      <c r="L877" t="s">
        <v>63</v>
      </c>
      <c r="M877" s="1">
        <v>36307</v>
      </c>
      <c r="N877">
        <v>1999</v>
      </c>
    </row>
    <row r="878" spans="1:14">
      <c r="A878" t="s">
        <v>14</v>
      </c>
      <c r="B878" t="str">
        <f>"122406200101"</f>
        <v>122406200101</v>
      </c>
      <c r="C878" t="s">
        <v>1809</v>
      </c>
      <c r="D878" t="s">
        <v>421</v>
      </c>
      <c r="G878" t="s">
        <v>32</v>
      </c>
      <c r="H878" t="s">
        <v>44</v>
      </c>
      <c r="I878" t="s">
        <v>60</v>
      </c>
      <c r="J878" t="s">
        <v>61</v>
      </c>
      <c r="K878" t="s">
        <v>394</v>
      </c>
      <c r="L878" t="s">
        <v>22</v>
      </c>
      <c r="M878" s="1">
        <v>37066</v>
      </c>
      <c r="N878">
        <v>2001</v>
      </c>
    </row>
    <row r="879" spans="1:14">
      <c r="A879" t="s">
        <v>14</v>
      </c>
      <c r="B879" t="str">
        <f>"122307200103"</f>
        <v>122307200103</v>
      </c>
      <c r="C879" t="s">
        <v>1994</v>
      </c>
      <c r="D879" t="s">
        <v>194</v>
      </c>
      <c r="G879" t="s">
        <v>32</v>
      </c>
      <c r="H879" t="s">
        <v>44</v>
      </c>
      <c r="I879" t="s">
        <v>60</v>
      </c>
      <c r="J879" t="s">
        <v>61</v>
      </c>
      <c r="K879" t="s">
        <v>62</v>
      </c>
      <c r="L879" t="s">
        <v>63</v>
      </c>
      <c r="M879" s="1">
        <v>37095</v>
      </c>
      <c r="N879">
        <v>2001</v>
      </c>
    </row>
    <row r="880" spans="1:14">
      <c r="A880" t="s">
        <v>14</v>
      </c>
      <c r="B880" t="str">
        <f>"122602200000"</f>
        <v>122602200000</v>
      </c>
      <c r="C880" t="s">
        <v>2381</v>
      </c>
      <c r="D880" t="s">
        <v>510</v>
      </c>
      <c r="G880" t="s">
        <v>32</v>
      </c>
      <c r="H880" t="s">
        <v>44</v>
      </c>
      <c r="I880" t="s">
        <v>60</v>
      </c>
      <c r="J880" t="s">
        <v>61</v>
      </c>
      <c r="K880" t="s">
        <v>62</v>
      </c>
      <c r="L880" t="s">
        <v>22</v>
      </c>
      <c r="M880" s="1">
        <v>36582</v>
      </c>
      <c r="N880">
        <v>2000</v>
      </c>
    </row>
    <row r="881" spans="1:14">
      <c r="A881" t="s">
        <v>14</v>
      </c>
      <c r="B881" t="str">
        <f>"120211200001"</f>
        <v>120211200001</v>
      </c>
      <c r="C881" t="s">
        <v>2612</v>
      </c>
      <c r="D881" t="s">
        <v>2613</v>
      </c>
      <c r="G881" t="s">
        <v>32</v>
      </c>
      <c r="H881" t="s">
        <v>44</v>
      </c>
      <c r="I881" t="s">
        <v>60</v>
      </c>
      <c r="J881" t="s">
        <v>61</v>
      </c>
      <c r="K881" t="s">
        <v>62</v>
      </c>
      <c r="L881" t="s">
        <v>63</v>
      </c>
      <c r="M881" s="1">
        <v>36832</v>
      </c>
      <c r="N881">
        <v>2000</v>
      </c>
    </row>
    <row r="882" spans="1:14">
      <c r="A882" t="s">
        <v>14</v>
      </c>
      <c r="B882" t="str">
        <f>"122806200000"</f>
        <v>122806200000</v>
      </c>
      <c r="C882" t="s">
        <v>2669</v>
      </c>
      <c r="D882" t="s">
        <v>184</v>
      </c>
      <c r="G882" t="s">
        <v>32</v>
      </c>
      <c r="H882" t="s">
        <v>44</v>
      </c>
      <c r="I882" t="s">
        <v>60</v>
      </c>
      <c r="J882" t="s">
        <v>61</v>
      </c>
      <c r="K882" t="s">
        <v>62</v>
      </c>
      <c r="M882" s="1">
        <v>36705</v>
      </c>
      <c r="N882">
        <v>2000</v>
      </c>
    </row>
    <row r="883" spans="1:14">
      <c r="A883" t="s">
        <v>14</v>
      </c>
      <c r="B883" t="str">
        <f>"122106200101"</f>
        <v>122106200101</v>
      </c>
      <c r="C883" t="s">
        <v>2747</v>
      </c>
      <c r="D883" t="s">
        <v>31</v>
      </c>
      <c r="G883" t="s">
        <v>32</v>
      </c>
      <c r="H883" t="s">
        <v>44</v>
      </c>
      <c r="I883" t="s">
        <v>60</v>
      </c>
      <c r="J883" t="s">
        <v>61</v>
      </c>
      <c r="K883" t="s">
        <v>62</v>
      </c>
      <c r="L883" t="s">
        <v>48</v>
      </c>
      <c r="M883" s="1">
        <v>37063</v>
      </c>
      <c r="N883">
        <v>2001</v>
      </c>
    </row>
    <row r="884" spans="1:14">
      <c r="A884" t="s">
        <v>14</v>
      </c>
      <c r="B884" t="str">
        <f>"120308199900"</f>
        <v>120308199900</v>
      </c>
      <c r="C884" t="s">
        <v>2927</v>
      </c>
      <c r="D884" t="s">
        <v>184</v>
      </c>
      <c r="G884" t="s">
        <v>32</v>
      </c>
      <c r="H884" t="s">
        <v>44</v>
      </c>
      <c r="I884" t="s">
        <v>60</v>
      </c>
      <c r="J884" t="s">
        <v>61</v>
      </c>
      <c r="K884" t="s">
        <v>394</v>
      </c>
      <c r="L884" t="s">
        <v>22</v>
      </c>
      <c r="M884" s="1">
        <v>36375</v>
      </c>
      <c r="N884">
        <v>1999</v>
      </c>
    </row>
    <row r="885" spans="1:14">
      <c r="A885" t="s">
        <v>14</v>
      </c>
      <c r="B885" t="str">
        <f>"112208199200"</f>
        <v>112208199200</v>
      </c>
      <c r="C885" t="s">
        <v>704</v>
      </c>
      <c r="D885" t="s">
        <v>16</v>
      </c>
      <c r="G885" t="s">
        <v>17</v>
      </c>
      <c r="H885" t="s">
        <v>25</v>
      </c>
      <c r="I885" t="s">
        <v>60</v>
      </c>
      <c r="J885" t="s">
        <v>61</v>
      </c>
      <c r="K885" t="s">
        <v>394</v>
      </c>
      <c r="L885" t="s">
        <v>48</v>
      </c>
      <c r="M885" s="1">
        <v>33838</v>
      </c>
      <c r="N885">
        <v>1992</v>
      </c>
    </row>
    <row r="886" spans="1:14">
      <c r="A886" t="s">
        <v>14</v>
      </c>
      <c r="B886" t="str">
        <f>"111211199600"</f>
        <v>111211199600</v>
      </c>
      <c r="C886" t="s">
        <v>706</v>
      </c>
      <c r="D886" t="s">
        <v>155</v>
      </c>
      <c r="G886" t="s">
        <v>17</v>
      </c>
      <c r="H886" t="s">
        <v>25</v>
      </c>
      <c r="I886" t="s">
        <v>60</v>
      </c>
      <c r="J886" t="s">
        <v>61</v>
      </c>
      <c r="K886" t="s">
        <v>62</v>
      </c>
      <c r="L886" t="s">
        <v>63</v>
      </c>
      <c r="M886" s="1">
        <v>35381</v>
      </c>
      <c r="N886">
        <v>1996</v>
      </c>
    </row>
    <row r="887" spans="1:14">
      <c r="A887" t="s">
        <v>14</v>
      </c>
      <c r="B887" t="str">
        <f>"110511198800"</f>
        <v>110511198800</v>
      </c>
      <c r="C887" t="s">
        <v>885</v>
      </c>
      <c r="D887" t="s">
        <v>886</v>
      </c>
      <c r="G887" t="s">
        <v>17</v>
      </c>
      <c r="H887" t="s">
        <v>25</v>
      </c>
      <c r="I887" t="s">
        <v>60</v>
      </c>
      <c r="J887" t="s">
        <v>61</v>
      </c>
      <c r="K887" t="s">
        <v>887</v>
      </c>
      <c r="L887" t="s">
        <v>48</v>
      </c>
      <c r="M887" s="1">
        <v>32452</v>
      </c>
      <c r="N887">
        <v>1988</v>
      </c>
    </row>
    <row r="888" spans="1:14">
      <c r="A888" t="s">
        <v>14</v>
      </c>
      <c r="B888" t="str">
        <f>"110108199600"</f>
        <v>110108199600</v>
      </c>
      <c r="C888" t="s">
        <v>1220</v>
      </c>
      <c r="D888" t="s">
        <v>886</v>
      </c>
      <c r="G888" t="s">
        <v>17</v>
      </c>
      <c r="H888" t="s">
        <v>25</v>
      </c>
      <c r="I888" t="s">
        <v>60</v>
      </c>
      <c r="J888" t="s">
        <v>61</v>
      </c>
      <c r="K888" t="s">
        <v>62</v>
      </c>
      <c r="L888" t="s">
        <v>22</v>
      </c>
      <c r="M888" s="1">
        <v>35278</v>
      </c>
      <c r="N888">
        <v>1996</v>
      </c>
    </row>
    <row r="889" spans="1:14">
      <c r="A889" t="s">
        <v>14</v>
      </c>
      <c r="B889" t="str">
        <f>"110711199800"</f>
        <v>110711199800</v>
      </c>
      <c r="C889" t="s">
        <v>1222</v>
      </c>
      <c r="D889" t="s">
        <v>209</v>
      </c>
      <c r="G889" t="s">
        <v>17</v>
      </c>
      <c r="H889" t="s">
        <v>25</v>
      </c>
      <c r="I889" t="s">
        <v>60</v>
      </c>
      <c r="J889" t="s">
        <v>61</v>
      </c>
      <c r="K889" t="s">
        <v>62</v>
      </c>
      <c r="L889" t="s">
        <v>22</v>
      </c>
      <c r="M889" s="1">
        <v>36106</v>
      </c>
      <c r="N889">
        <v>1998</v>
      </c>
    </row>
    <row r="890" spans="1:14">
      <c r="A890" t="s">
        <v>14</v>
      </c>
      <c r="B890" t="str">
        <f>"111608198100"</f>
        <v>111608198100</v>
      </c>
      <c r="C890" t="s">
        <v>1351</v>
      </c>
      <c r="D890" t="s">
        <v>50</v>
      </c>
      <c r="G890" t="s">
        <v>17</v>
      </c>
      <c r="H890" t="s">
        <v>25</v>
      </c>
      <c r="I890" t="s">
        <v>60</v>
      </c>
      <c r="J890" t="s">
        <v>61</v>
      </c>
      <c r="K890" t="s">
        <v>1352</v>
      </c>
      <c r="L890" t="s">
        <v>48</v>
      </c>
      <c r="M890" s="1">
        <v>29814</v>
      </c>
      <c r="N890">
        <v>1981</v>
      </c>
    </row>
    <row r="891" spans="1:14">
      <c r="A891" t="s">
        <v>14</v>
      </c>
      <c r="B891" t="str">
        <f>"110910199501"</f>
        <v>110910199501</v>
      </c>
      <c r="C891" t="s">
        <v>1669</v>
      </c>
      <c r="D891" t="s">
        <v>16</v>
      </c>
      <c r="G891" t="s">
        <v>17</v>
      </c>
      <c r="H891" t="s">
        <v>25</v>
      </c>
      <c r="I891" t="s">
        <v>60</v>
      </c>
      <c r="J891" t="s">
        <v>61</v>
      </c>
      <c r="K891" t="s">
        <v>62</v>
      </c>
      <c r="L891" t="s">
        <v>63</v>
      </c>
      <c r="M891" s="1">
        <v>34981</v>
      </c>
      <c r="N891">
        <v>1995</v>
      </c>
    </row>
    <row r="892" spans="1:14">
      <c r="A892" t="s">
        <v>14</v>
      </c>
      <c r="B892" t="str">
        <f>"111708198500"</f>
        <v>111708198500</v>
      </c>
      <c r="C892" t="s">
        <v>1680</v>
      </c>
      <c r="D892" t="s">
        <v>657</v>
      </c>
      <c r="G892" t="s">
        <v>17</v>
      </c>
      <c r="H892" t="s">
        <v>25</v>
      </c>
      <c r="I892" t="s">
        <v>60</v>
      </c>
      <c r="J892" t="s">
        <v>61</v>
      </c>
      <c r="K892" t="s">
        <v>1352</v>
      </c>
      <c r="L892" t="s">
        <v>48</v>
      </c>
      <c r="M892" s="1">
        <v>31276</v>
      </c>
      <c r="N892">
        <v>1985</v>
      </c>
    </row>
    <row r="893" spans="1:14">
      <c r="A893" t="s">
        <v>14</v>
      </c>
      <c r="B893" t="str">
        <f>"111207199800"</f>
        <v>111207199800</v>
      </c>
      <c r="C893" t="s">
        <v>1804</v>
      </c>
      <c r="D893" t="s">
        <v>98</v>
      </c>
      <c r="G893" t="s">
        <v>17</v>
      </c>
      <c r="H893" t="s">
        <v>25</v>
      </c>
      <c r="I893" t="s">
        <v>60</v>
      </c>
      <c r="J893" t="s">
        <v>61</v>
      </c>
      <c r="K893" t="s">
        <v>62</v>
      </c>
      <c r="L893" t="s">
        <v>22</v>
      </c>
      <c r="M893" s="1">
        <v>35988</v>
      </c>
      <c r="N893">
        <v>1998</v>
      </c>
    </row>
    <row r="894" spans="1:14">
      <c r="A894" t="s">
        <v>14</v>
      </c>
      <c r="B894" t="str">
        <f>"112307199200"</f>
        <v>112307199200</v>
      </c>
      <c r="C894" t="s">
        <v>1859</v>
      </c>
      <c r="D894" t="s">
        <v>120</v>
      </c>
      <c r="G894" t="s">
        <v>17</v>
      </c>
      <c r="H894" t="s">
        <v>25</v>
      </c>
      <c r="I894" t="s">
        <v>60</v>
      </c>
      <c r="J894" t="s">
        <v>61</v>
      </c>
      <c r="K894" t="s">
        <v>62</v>
      </c>
      <c r="L894" t="s">
        <v>48</v>
      </c>
      <c r="M894" s="1">
        <v>33808</v>
      </c>
      <c r="N894">
        <v>1992</v>
      </c>
    </row>
    <row r="895" spans="1:14">
      <c r="A895" t="s">
        <v>14</v>
      </c>
      <c r="B895" t="str">
        <f>"110402199800"</f>
        <v>110402199800</v>
      </c>
      <c r="C895" t="s">
        <v>2181</v>
      </c>
      <c r="D895" t="s">
        <v>209</v>
      </c>
      <c r="G895" t="s">
        <v>17</v>
      </c>
      <c r="H895" t="s">
        <v>25</v>
      </c>
      <c r="I895" t="s">
        <v>60</v>
      </c>
      <c r="J895" t="s">
        <v>61</v>
      </c>
      <c r="K895" t="s">
        <v>62</v>
      </c>
      <c r="L895" t="s">
        <v>63</v>
      </c>
      <c r="M895" s="1">
        <v>35830</v>
      </c>
      <c r="N895">
        <v>1998</v>
      </c>
    </row>
    <row r="896" spans="1:14">
      <c r="A896" t="s">
        <v>14</v>
      </c>
      <c r="B896" t="str">
        <f>"111502199600"</f>
        <v>111502199600</v>
      </c>
      <c r="C896" t="s">
        <v>2181</v>
      </c>
      <c r="D896" t="s">
        <v>344</v>
      </c>
      <c r="G896" t="s">
        <v>17</v>
      </c>
      <c r="H896" t="s">
        <v>25</v>
      </c>
      <c r="I896" t="s">
        <v>60</v>
      </c>
      <c r="J896" t="s">
        <v>61</v>
      </c>
      <c r="K896" t="s">
        <v>62</v>
      </c>
      <c r="L896" t="s">
        <v>63</v>
      </c>
      <c r="M896" s="1">
        <v>35110</v>
      </c>
      <c r="N896">
        <v>1996</v>
      </c>
    </row>
    <row r="897" spans="1:14">
      <c r="A897" t="s">
        <v>14</v>
      </c>
      <c r="B897" t="str">
        <f>"112602200002"</f>
        <v>112602200002</v>
      </c>
      <c r="C897" t="s">
        <v>288</v>
      </c>
      <c r="D897" t="s">
        <v>289</v>
      </c>
      <c r="G897" t="s">
        <v>17</v>
      </c>
      <c r="H897" t="s">
        <v>18</v>
      </c>
      <c r="I897" t="s">
        <v>60</v>
      </c>
      <c r="J897" t="s">
        <v>61</v>
      </c>
      <c r="K897" t="s">
        <v>62</v>
      </c>
      <c r="L897" t="s">
        <v>22</v>
      </c>
      <c r="M897" s="1">
        <v>36582</v>
      </c>
      <c r="N897">
        <v>2000</v>
      </c>
    </row>
    <row r="898" spans="1:14">
      <c r="A898" t="s">
        <v>14</v>
      </c>
      <c r="B898" t="str">
        <f>"112603200100"</f>
        <v>112603200100</v>
      </c>
      <c r="C898" t="s">
        <v>553</v>
      </c>
      <c r="D898" t="s">
        <v>373</v>
      </c>
      <c r="G898" t="s">
        <v>17</v>
      </c>
      <c r="H898" t="s">
        <v>18</v>
      </c>
      <c r="I898" t="s">
        <v>60</v>
      </c>
      <c r="J898" t="s">
        <v>61</v>
      </c>
      <c r="K898" t="s">
        <v>62</v>
      </c>
      <c r="L898" t="s">
        <v>22</v>
      </c>
      <c r="M898" s="1">
        <v>36976</v>
      </c>
      <c r="N898">
        <v>2001</v>
      </c>
    </row>
    <row r="899" spans="1:14">
      <c r="A899" t="s">
        <v>14</v>
      </c>
      <c r="B899" t="str">
        <f>"110102200101"</f>
        <v>110102200101</v>
      </c>
      <c r="C899" t="s">
        <v>783</v>
      </c>
      <c r="D899" t="s">
        <v>382</v>
      </c>
      <c r="G899" t="s">
        <v>17</v>
      </c>
      <c r="H899" t="s">
        <v>18</v>
      </c>
      <c r="I899" t="s">
        <v>60</v>
      </c>
      <c r="J899" t="s">
        <v>61</v>
      </c>
      <c r="K899" t="s">
        <v>62</v>
      </c>
      <c r="L899" t="s">
        <v>22</v>
      </c>
      <c r="M899" s="1">
        <v>36923</v>
      </c>
      <c r="N899">
        <v>2001</v>
      </c>
    </row>
    <row r="900" spans="1:14">
      <c r="A900" t="s">
        <v>14</v>
      </c>
      <c r="B900" t="str">
        <f>"112308200100"</f>
        <v>112308200100</v>
      </c>
      <c r="C900" t="s">
        <v>790</v>
      </c>
      <c r="D900" t="s">
        <v>373</v>
      </c>
      <c r="G900" t="s">
        <v>17</v>
      </c>
      <c r="H900" t="s">
        <v>18</v>
      </c>
      <c r="I900" t="s">
        <v>60</v>
      </c>
      <c r="J900" t="s">
        <v>61</v>
      </c>
      <c r="K900" t="s">
        <v>394</v>
      </c>
      <c r="L900" t="s">
        <v>22</v>
      </c>
      <c r="M900" s="1">
        <v>37126</v>
      </c>
      <c r="N900">
        <v>2001</v>
      </c>
    </row>
    <row r="901" spans="1:14">
      <c r="A901" t="s">
        <v>14</v>
      </c>
      <c r="B901" t="str">
        <f>"110806200101"</f>
        <v>110806200101</v>
      </c>
      <c r="C901" t="s">
        <v>1127</v>
      </c>
      <c r="D901" t="s">
        <v>782</v>
      </c>
      <c r="G901" t="s">
        <v>17</v>
      </c>
      <c r="H901" t="s">
        <v>18</v>
      </c>
      <c r="I901" t="s">
        <v>60</v>
      </c>
      <c r="J901" t="s">
        <v>61</v>
      </c>
      <c r="K901" t="s">
        <v>394</v>
      </c>
      <c r="L901" t="s">
        <v>63</v>
      </c>
      <c r="M901" s="1">
        <v>37050</v>
      </c>
      <c r="N901">
        <v>2001</v>
      </c>
    </row>
    <row r="902" spans="1:14">
      <c r="A902" t="s">
        <v>14</v>
      </c>
      <c r="B902" t="str">
        <f>"111607200101"</f>
        <v>111607200101</v>
      </c>
      <c r="C902" t="s">
        <v>1339</v>
      </c>
      <c r="D902" t="s">
        <v>209</v>
      </c>
      <c r="G902" t="s">
        <v>17</v>
      </c>
      <c r="H902" t="s">
        <v>18</v>
      </c>
      <c r="I902" t="s">
        <v>60</v>
      </c>
      <c r="J902" t="s">
        <v>61</v>
      </c>
      <c r="K902" t="s">
        <v>62</v>
      </c>
      <c r="L902" t="s">
        <v>22</v>
      </c>
      <c r="M902" s="1">
        <v>37088</v>
      </c>
      <c r="N902">
        <v>2001</v>
      </c>
    </row>
    <row r="903" spans="1:14">
      <c r="A903" t="s">
        <v>14</v>
      </c>
      <c r="B903" t="str">
        <f>"111402200001"</f>
        <v>111402200001</v>
      </c>
      <c r="C903" t="s">
        <v>1511</v>
      </c>
      <c r="D903" t="s">
        <v>129</v>
      </c>
      <c r="G903" t="s">
        <v>17</v>
      </c>
      <c r="H903" t="s">
        <v>18</v>
      </c>
      <c r="I903" t="s">
        <v>60</v>
      </c>
      <c r="J903" t="s">
        <v>61</v>
      </c>
      <c r="K903" t="s">
        <v>62</v>
      </c>
      <c r="M903" s="1">
        <v>36570</v>
      </c>
      <c r="N903">
        <v>2000</v>
      </c>
    </row>
    <row r="904" spans="1:14">
      <c r="A904" t="s">
        <v>14</v>
      </c>
      <c r="B904" t="str">
        <f>"111512200001"</f>
        <v>111512200001</v>
      </c>
      <c r="C904" t="s">
        <v>1661</v>
      </c>
      <c r="D904" t="s">
        <v>1103</v>
      </c>
      <c r="G904" t="s">
        <v>17</v>
      </c>
      <c r="H904" t="s">
        <v>18</v>
      </c>
      <c r="I904" t="s">
        <v>60</v>
      </c>
      <c r="J904" t="s">
        <v>61</v>
      </c>
      <c r="K904" t="s">
        <v>62</v>
      </c>
      <c r="L904" t="s">
        <v>22</v>
      </c>
      <c r="M904" s="1">
        <v>36875</v>
      </c>
      <c r="N904">
        <v>2000</v>
      </c>
    </row>
    <row r="905" spans="1:14">
      <c r="A905" t="s">
        <v>14</v>
      </c>
      <c r="B905" t="str">
        <f>"111512200002"</f>
        <v>111512200002</v>
      </c>
      <c r="C905" t="s">
        <v>2126</v>
      </c>
      <c r="D905" t="s">
        <v>129</v>
      </c>
      <c r="G905" t="s">
        <v>17</v>
      </c>
      <c r="H905" t="s">
        <v>18</v>
      </c>
      <c r="I905" t="s">
        <v>60</v>
      </c>
      <c r="J905" t="s">
        <v>61</v>
      </c>
      <c r="K905" t="s">
        <v>62</v>
      </c>
      <c r="L905" t="s">
        <v>22</v>
      </c>
      <c r="M905" s="1">
        <v>36875</v>
      </c>
      <c r="N905">
        <v>2000</v>
      </c>
    </row>
    <row r="906" spans="1:14">
      <c r="A906" t="s">
        <v>14</v>
      </c>
      <c r="B906" t="str">
        <f>"112804200100"</f>
        <v>112804200100</v>
      </c>
      <c r="C906" t="s">
        <v>2164</v>
      </c>
      <c r="D906" t="s">
        <v>534</v>
      </c>
      <c r="G906" t="s">
        <v>17</v>
      </c>
      <c r="H906" t="s">
        <v>18</v>
      </c>
      <c r="I906" t="s">
        <v>60</v>
      </c>
      <c r="J906" t="s">
        <v>61</v>
      </c>
      <c r="K906" t="s">
        <v>62</v>
      </c>
      <c r="L906" t="s">
        <v>22</v>
      </c>
      <c r="M906" s="1">
        <v>37009</v>
      </c>
      <c r="N906">
        <v>2001</v>
      </c>
    </row>
    <row r="907" spans="1:14">
      <c r="A907" t="s">
        <v>14</v>
      </c>
      <c r="B907" t="str">
        <f>"111309199900"</f>
        <v>111309199900</v>
      </c>
      <c r="C907" t="s">
        <v>2236</v>
      </c>
      <c r="D907" t="s">
        <v>373</v>
      </c>
      <c r="G907" t="s">
        <v>17</v>
      </c>
      <c r="H907" t="s">
        <v>18</v>
      </c>
      <c r="I907" t="s">
        <v>60</v>
      </c>
      <c r="J907" t="s">
        <v>61</v>
      </c>
      <c r="K907" t="s">
        <v>62</v>
      </c>
      <c r="L907" t="s">
        <v>63</v>
      </c>
      <c r="M907" s="1">
        <v>36416</v>
      </c>
      <c r="N907">
        <v>1999</v>
      </c>
    </row>
    <row r="908" spans="1:14">
      <c r="A908" t="s">
        <v>14</v>
      </c>
      <c r="B908" t="str">
        <f>"112901200101"</f>
        <v>112901200101</v>
      </c>
      <c r="C908" t="s">
        <v>2337</v>
      </c>
      <c r="D908" t="s">
        <v>181</v>
      </c>
      <c r="G908" t="s">
        <v>17</v>
      </c>
      <c r="H908" t="s">
        <v>18</v>
      </c>
      <c r="I908" t="s">
        <v>60</v>
      </c>
      <c r="J908" t="s">
        <v>61</v>
      </c>
      <c r="K908" t="s">
        <v>62</v>
      </c>
      <c r="L908" t="s">
        <v>22</v>
      </c>
      <c r="M908" s="1">
        <v>36920</v>
      </c>
      <c r="N908">
        <v>2001</v>
      </c>
    </row>
    <row r="909" spans="1:14">
      <c r="A909" t="s">
        <v>14</v>
      </c>
      <c r="B909" t="str">
        <f>"112711200101"</f>
        <v>112711200101</v>
      </c>
      <c r="C909" t="s">
        <v>2445</v>
      </c>
      <c r="D909" t="s">
        <v>292</v>
      </c>
      <c r="G909" t="s">
        <v>17</v>
      </c>
      <c r="H909" t="s">
        <v>18</v>
      </c>
      <c r="I909" t="s">
        <v>60</v>
      </c>
      <c r="J909" t="s">
        <v>61</v>
      </c>
      <c r="K909" t="s">
        <v>394</v>
      </c>
      <c r="M909" s="1">
        <v>37222</v>
      </c>
      <c r="N909">
        <v>2001</v>
      </c>
    </row>
    <row r="910" spans="1:14">
      <c r="A910" t="s">
        <v>14</v>
      </c>
      <c r="B910" t="str">
        <f>"111310200100"</f>
        <v>111310200100</v>
      </c>
      <c r="C910" t="s">
        <v>2619</v>
      </c>
      <c r="D910" t="s">
        <v>209</v>
      </c>
      <c r="G910" t="s">
        <v>17</v>
      </c>
      <c r="H910" t="s">
        <v>18</v>
      </c>
      <c r="I910" t="s">
        <v>60</v>
      </c>
      <c r="J910" t="s">
        <v>61</v>
      </c>
      <c r="K910" t="s">
        <v>394</v>
      </c>
      <c r="L910" t="s">
        <v>63</v>
      </c>
      <c r="M910" s="1">
        <v>37177</v>
      </c>
      <c r="N910">
        <v>2001</v>
      </c>
    </row>
    <row r="911" spans="1:14">
      <c r="A911" t="s">
        <v>14</v>
      </c>
      <c r="B911" t="str">
        <f>"112607200100"</f>
        <v>112607200100</v>
      </c>
      <c r="C911" t="s">
        <v>2697</v>
      </c>
      <c r="D911" t="s">
        <v>1203</v>
      </c>
      <c r="G911" t="s">
        <v>17</v>
      </c>
      <c r="H911" t="s">
        <v>18</v>
      </c>
      <c r="I911" t="s">
        <v>60</v>
      </c>
      <c r="J911" t="s">
        <v>61</v>
      </c>
      <c r="K911" t="s">
        <v>62</v>
      </c>
      <c r="L911" t="s">
        <v>48</v>
      </c>
      <c r="M911" s="1">
        <v>37098</v>
      </c>
      <c r="N911">
        <v>2001</v>
      </c>
    </row>
    <row r="912" spans="1:14">
      <c r="A912" t="s">
        <v>14</v>
      </c>
      <c r="B912" t="str">
        <f>"112110200400"</f>
        <v>112110200400</v>
      </c>
      <c r="C912" t="s">
        <v>512</v>
      </c>
      <c r="D912" t="s">
        <v>89</v>
      </c>
      <c r="G912" t="s">
        <v>17</v>
      </c>
      <c r="H912" t="s">
        <v>39</v>
      </c>
      <c r="I912" t="s">
        <v>60</v>
      </c>
      <c r="J912" t="s">
        <v>61</v>
      </c>
      <c r="K912" t="s">
        <v>394</v>
      </c>
      <c r="M912" s="1">
        <v>38281</v>
      </c>
      <c r="N912">
        <v>2004</v>
      </c>
    </row>
    <row r="913" spans="1:14">
      <c r="A913" t="s">
        <v>14</v>
      </c>
      <c r="B913" t="str">
        <f>"111606200402"</f>
        <v>111606200402</v>
      </c>
      <c r="C913" t="s">
        <v>565</v>
      </c>
      <c r="D913" t="s">
        <v>24</v>
      </c>
      <c r="G913" t="s">
        <v>17</v>
      </c>
      <c r="H913" t="s">
        <v>39</v>
      </c>
      <c r="I913" t="s">
        <v>60</v>
      </c>
      <c r="J913" t="s">
        <v>61</v>
      </c>
      <c r="K913" t="s">
        <v>394</v>
      </c>
      <c r="M913" s="1">
        <v>38154</v>
      </c>
      <c r="N913">
        <v>2004</v>
      </c>
    </row>
    <row r="914" spans="1:14">
      <c r="A914" t="s">
        <v>14</v>
      </c>
      <c r="B914" t="str">
        <f>"111207200400"</f>
        <v>111207200400</v>
      </c>
      <c r="C914" t="s">
        <v>684</v>
      </c>
      <c r="D914" t="s">
        <v>685</v>
      </c>
      <c r="G914" t="s">
        <v>17</v>
      </c>
      <c r="H914" t="s">
        <v>39</v>
      </c>
      <c r="I914" t="s">
        <v>60</v>
      </c>
      <c r="J914" t="s">
        <v>61</v>
      </c>
      <c r="K914" t="s">
        <v>62</v>
      </c>
      <c r="L914" t="s">
        <v>22</v>
      </c>
      <c r="M914" s="1">
        <v>38180</v>
      </c>
      <c r="N914">
        <v>2004</v>
      </c>
    </row>
    <row r="915" spans="1:14">
      <c r="A915" t="s">
        <v>14</v>
      </c>
      <c r="B915" t="str">
        <f>"110810200401"</f>
        <v>110810200401</v>
      </c>
      <c r="C915" t="s">
        <v>1116</v>
      </c>
      <c r="D915" t="s">
        <v>129</v>
      </c>
      <c r="G915" t="s">
        <v>17</v>
      </c>
      <c r="H915" t="s">
        <v>39</v>
      </c>
      <c r="I915" t="s">
        <v>60</v>
      </c>
      <c r="J915" t="s">
        <v>61</v>
      </c>
      <c r="K915" t="s">
        <v>394</v>
      </c>
      <c r="M915" s="1">
        <v>38268</v>
      </c>
      <c r="N915">
        <v>2004</v>
      </c>
    </row>
    <row r="916" spans="1:14">
      <c r="A916" t="s">
        <v>14</v>
      </c>
      <c r="B916" t="str">
        <f>"112609200500"</f>
        <v>112609200500</v>
      </c>
      <c r="C916" t="s">
        <v>1151</v>
      </c>
      <c r="D916" t="s">
        <v>53</v>
      </c>
      <c r="G916" t="s">
        <v>17</v>
      </c>
      <c r="H916" t="s">
        <v>39</v>
      </c>
      <c r="I916" t="s">
        <v>60</v>
      </c>
      <c r="J916" t="s">
        <v>61</v>
      </c>
      <c r="K916" t="s">
        <v>62</v>
      </c>
      <c r="M916" s="1">
        <v>38621</v>
      </c>
      <c r="N916">
        <v>2005</v>
      </c>
    </row>
    <row r="917" spans="1:14">
      <c r="A917" t="s">
        <v>14</v>
      </c>
      <c r="B917" t="str">
        <f>"110808200402"</f>
        <v>110808200402</v>
      </c>
      <c r="C917" t="s">
        <v>1272</v>
      </c>
      <c r="D917" t="s">
        <v>209</v>
      </c>
      <c r="G917" t="s">
        <v>17</v>
      </c>
      <c r="H917" t="s">
        <v>39</v>
      </c>
      <c r="I917" t="s">
        <v>60</v>
      </c>
      <c r="J917" t="s">
        <v>61</v>
      </c>
      <c r="K917" t="s">
        <v>62</v>
      </c>
      <c r="L917" t="s">
        <v>22</v>
      </c>
      <c r="M917" s="1">
        <v>38207</v>
      </c>
      <c r="N917">
        <v>2004</v>
      </c>
    </row>
    <row r="918" spans="1:14">
      <c r="A918" t="s">
        <v>14</v>
      </c>
      <c r="B918" t="str">
        <f>"111808200400"</f>
        <v>111808200400</v>
      </c>
      <c r="C918" t="s">
        <v>1395</v>
      </c>
      <c r="D918" t="s">
        <v>120</v>
      </c>
      <c r="G918" t="s">
        <v>17</v>
      </c>
      <c r="H918" t="s">
        <v>39</v>
      </c>
      <c r="I918" t="s">
        <v>60</v>
      </c>
      <c r="J918" t="s">
        <v>61</v>
      </c>
      <c r="K918" t="s">
        <v>62</v>
      </c>
      <c r="L918" t="s">
        <v>22</v>
      </c>
      <c r="M918" s="1">
        <v>38217</v>
      </c>
      <c r="N918">
        <v>2004</v>
      </c>
    </row>
    <row r="919" spans="1:14">
      <c r="A919" t="s">
        <v>14</v>
      </c>
      <c r="B919" t="str">
        <f>"112002200500"</f>
        <v>112002200500</v>
      </c>
      <c r="C919" t="s">
        <v>1597</v>
      </c>
      <c r="D919" t="s">
        <v>95</v>
      </c>
      <c r="G919" t="s">
        <v>17</v>
      </c>
      <c r="H919" t="s">
        <v>39</v>
      </c>
      <c r="I919" t="s">
        <v>60</v>
      </c>
      <c r="J919" t="s">
        <v>61</v>
      </c>
      <c r="K919" t="s">
        <v>62</v>
      </c>
      <c r="L919" t="s">
        <v>22</v>
      </c>
      <c r="M919" s="1">
        <v>38403</v>
      </c>
      <c r="N919">
        <v>2005</v>
      </c>
    </row>
    <row r="920" spans="1:14">
      <c r="A920" t="s">
        <v>14</v>
      </c>
      <c r="B920" t="str">
        <f>"112711200401"</f>
        <v>112711200401</v>
      </c>
      <c r="C920" t="s">
        <v>2237</v>
      </c>
      <c r="D920" t="s">
        <v>115</v>
      </c>
      <c r="G920" t="s">
        <v>17</v>
      </c>
      <c r="H920" t="s">
        <v>39</v>
      </c>
      <c r="I920" t="s">
        <v>60</v>
      </c>
      <c r="J920" t="s">
        <v>61</v>
      </c>
      <c r="K920" t="s">
        <v>62</v>
      </c>
      <c r="L920" t="s">
        <v>22</v>
      </c>
      <c r="M920" s="1">
        <v>38318</v>
      </c>
      <c r="N920">
        <v>2004</v>
      </c>
    </row>
    <row r="921" spans="1:14">
      <c r="A921" t="s">
        <v>14</v>
      </c>
      <c r="B921" t="str">
        <f>"111302200403"</f>
        <v>111302200403</v>
      </c>
      <c r="C921" t="s">
        <v>2900</v>
      </c>
      <c r="D921" t="s">
        <v>98</v>
      </c>
      <c r="G921" t="s">
        <v>17</v>
      </c>
      <c r="H921" t="s">
        <v>39</v>
      </c>
      <c r="I921" t="s">
        <v>60</v>
      </c>
      <c r="J921" t="s">
        <v>61</v>
      </c>
      <c r="K921" t="s">
        <v>62</v>
      </c>
      <c r="M921" s="1">
        <v>38030</v>
      </c>
      <c r="N921">
        <v>2004</v>
      </c>
    </row>
    <row r="922" spans="1:14">
      <c r="A922" t="s">
        <v>14</v>
      </c>
      <c r="B922" t="str">
        <f>"110211200301"</f>
        <v>110211200301</v>
      </c>
      <c r="C922" t="s">
        <v>93</v>
      </c>
      <c r="D922" t="s">
        <v>89</v>
      </c>
      <c r="G922" t="s">
        <v>17</v>
      </c>
      <c r="H922" t="s">
        <v>51</v>
      </c>
      <c r="I922" t="s">
        <v>60</v>
      </c>
      <c r="J922" t="s">
        <v>61</v>
      </c>
      <c r="K922" t="s">
        <v>62</v>
      </c>
      <c r="M922" s="1">
        <v>37927</v>
      </c>
      <c r="N922">
        <v>2003</v>
      </c>
    </row>
    <row r="923" spans="1:14">
      <c r="A923" t="s">
        <v>14</v>
      </c>
      <c r="B923" t="str">
        <f>"112905200200"</f>
        <v>112905200200</v>
      </c>
      <c r="C923" t="s">
        <v>220</v>
      </c>
      <c r="D923" t="s">
        <v>221</v>
      </c>
      <c r="G923" t="s">
        <v>17</v>
      </c>
      <c r="H923" t="s">
        <v>51</v>
      </c>
      <c r="I923" t="s">
        <v>60</v>
      </c>
      <c r="J923" t="s">
        <v>61</v>
      </c>
      <c r="K923" t="s">
        <v>62</v>
      </c>
      <c r="L923" t="s">
        <v>63</v>
      </c>
      <c r="M923" s="1">
        <v>37405</v>
      </c>
      <c r="N923">
        <v>2002</v>
      </c>
    </row>
    <row r="924" spans="1:14">
      <c r="A924" t="s">
        <v>14</v>
      </c>
      <c r="B924" t="str">
        <f>"112709200200"</f>
        <v>112709200200</v>
      </c>
      <c r="C924" t="s">
        <v>604</v>
      </c>
      <c r="D924" t="s">
        <v>115</v>
      </c>
      <c r="G924" t="s">
        <v>17</v>
      </c>
      <c r="H924" t="s">
        <v>51</v>
      </c>
      <c r="I924" t="s">
        <v>60</v>
      </c>
      <c r="J924" t="s">
        <v>61</v>
      </c>
      <c r="K924" t="s">
        <v>394</v>
      </c>
      <c r="L924" t="s">
        <v>22</v>
      </c>
      <c r="M924" s="1">
        <v>37526</v>
      </c>
      <c r="N924">
        <v>2002</v>
      </c>
    </row>
    <row r="925" spans="1:14">
      <c r="A925" t="s">
        <v>14</v>
      </c>
      <c r="B925" t="str">
        <f>"110211200201"</f>
        <v>110211200201</v>
      </c>
      <c r="C925" t="s">
        <v>1121</v>
      </c>
      <c r="D925" t="s">
        <v>1122</v>
      </c>
      <c r="G925" t="s">
        <v>17</v>
      </c>
      <c r="H925" t="s">
        <v>51</v>
      </c>
      <c r="I925" t="s">
        <v>60</v>
      </c>
      <c r="J925" t="s">
        <v>61</v>
      </c>
      <c r="K925" t="s">
        <v>394</v>
      </c>
      <c r="L925" t="s">
        <v>22</v>
      </c>
      <c r="M925" s="1">
        <v>37562</v>
      </c>
      <c r="N925">
        <v>2002</v>
      </c>
    </row>
    <row r="926" spans="1:14">
      <c r="A926" t="s">
        <v>14</v>
      </c>
      <c r="B926" t="str">
        <f>"110712200200"</f>
        <v>110712200200</v>
      </c>
      <c r="C926" t="s">
        <v>1197</v>
      </c>
      <c r="D926" t="s">
        <v>209</v>
      </c>
      <c r="G926" t="s">
        <v>17</v>
      </c>
      <c r="H926" t="s">
        <v>51</v>
      </c>
      <c r="I926" t="s">
        <v>60</v>
      </c>
      <c r="J926" t="s">
        <v>61</v>
      </c>
      <c r="K926" t="s">
        <v>394</v>
      </c>
      <c r="L926" t="s">
        <v>22</v>
      </c>
      <c r="M926" s="1">
        <v>37597</v>
      </c>
      <c r="N926">
        <v>2002</v>
      </c>
    </row>
    <row r="927" spans="1:14">
      <c r="A927" t="s">
        <v>14</v>
      </c>
      <c r="B927" t="str">
        <f>"110705200301"</f>
        <v>110705200301</v>
      </c>
      <c r="C927" t="s">
        <v>1336</v>
      </c>
      <c r="D927" t="s">
        <v>344</v>
      </c>
      <c r="G927" t="s">
        <v>17</v>
      </c>
      <c r="H927" t="s">
        <v>51</v>
      </c>
      <c r="I927" t="s">
        <v>60</v>
      </c>
      <c r="J927" t="s">
        <v>61</v>
      </c>
      <c r="K927" t="s">
        <v>394</v>
      </c>
      <c r="L927" t="s">
        <v>22</v>
      </c>
      <c r="M927" s="1">
        <v>37748</v>
      </c>
      <c r="N927">
        <v>2003</v>
      </c>
    </row>
    <row r="928" spans="1:14">
      <c r="A928" t="s">
        <v>14</v>
      </c>
      <c r="B928" t="str">
        <f>"112606200300"</f>
        <v>112606200300</v>
      </c>
      <c r="C928" t="s">
        <v>1339</v>
      </c>
      <c r="D928" t="s">
        <v>344</v>
      </c>
      <c r="G928" t="s">
        <v>17</v>
      </c>
      <c r="H928" t="s">
        <v>51</v>
      </c>
      <c r="I928" t="s">
        <v>60</v>
      </c>
      <c r="J928" t="s">
        <v>61</v>
      </c>
      <c r="K928" t="s">
        <v>62</v>
      </c>
      <c r="L928" t="s">
        <v>22</v>
      </c>
      <c r="M928" s="1">
        <v>37798</v>
      </c>
      <c r="N928">
        <v>2003</v>
      </c>
    </row>
    <row r="929" spans="1:14">
      <c r="A929" t="s">
        <v>14</v>
      </c>
      <c r="B929" t="str">
        <f>"111201200200"</f>
        <v>111201200200</v>
      </c>
      <c r="C929" t="s">
        <v>1436</v>
      </c>
      <c r="D929" t="s">
        <v>617</v>
      </c>
      <c r="G929" t="s">
        <v>17</v>
      </c>
      <c r="H929" t="s">
        <v>51</v>
      </c>
      <c r="I929" t="s">
        <v>60</v>
      </c>
      <c r="J929" t="s">
        <v>61</v>
      </c>
      <c r="K929" t="s">
        <v>62</v>
      </c>
      <c r="L929" t="s">
        <v>22</v>
      </c>
      <c r="M929" s="1">
        <v>37268</v>
      </c>
      <c r="N929">
        <v>2002</v>
      </c>
    </row>
    <row r="930" spans="1:14">
      <c r="A930" t="s">
        <v>14</v>
      </c>
      <c r="B930" t="str">
        <f>"110612200200"</f>
        <v>110612200200</v>
      </c>
      <c r="C930" t="s">
        <v>1465</v>
      </c>
      <c r="D930" t="s">
        <v>534</v>
      </c>
      <c r="G930" t="s">
        <v>17</v>
      </c>
      <c r="H930" t="s">
        <v>51</v>
      </c>
      <c r="I930" t="s">
        <v>60</v>
      </c>
      <c r="J930" t="s">
        <v>61</v>
      </c>
      <c r="K930" t="s">
        <v>62</v>
      </c>
      <c r="L930" t="s">
        <v>63</v>
      </c>
      <c r="M930" s="1">
        <v>37596</v>
      </c>
      <c r="N930">
        <v>2002</v>
      </c>
    </row>
    <row r="931" spans="1:14">
      <c r="A931" t="s">
        <v>14</v>
      </c>
      <c r="B931" t="str">
        <f>"111909200300"</f>
        <v>111909200300</v>
      </c>
      <c r="C931" t="s">
        <v>1556</v>
      </c>
      <c r="D931" t="s">
        <v>221</v>
      </c>
      <c r="G931" t="s">
        <v>17</v>
      </c>
      <c r="H931" t="s">
        <v>51</v>
      </c>
      <c r="I931" t="s">
        <v>60</v>
      </c>
      <c r="J931" t="s">
        <v>61</v>
      </c>
      <c r="K931" t="s">
        <v>62</v>
      </c>
      <c r="L931" t="s">
        <v>63</v>
      </c>
      <c r="M931" s="1">
        <v>37883</v>
      </c>
      <c r="N931">
        <v>2003</v>
      </c>
    </row>
    <row r="932" spans="1:14">
      <c r="A932" t="s">
        <v>14</v>
      </c>
      <c r="B932" t="str">
        <f>"110608200300"</f>
        <v>110608200300</v>
      </c>
      <c r="C932" t="s">
        <v>1911</v>
      </c>
      <c r="D932" t="s">
        <v>89</v>
      </c>
      <c r="G932" t="s">
        <v>17</v>
      </c>
      <c r="H932" t="s">
        <v>51</v>
      </c>
      <c r="I932" t="s">
        <v>60</v>
      </c>
      <c r="J932" t="s">
        <v>61</v>
      </c>
      <c r="K932" t="s">
        <v>394</v>
      </c>
      <c r="L932" t="s">
        <v>22</v>
      </c>
      <c r="M932" s="1">
        <v>37839</v>
      </c>
      <c r="N932">
        <v>2003</v>
      </c>
    </row>
    <row r="933" spans="1:14">
      <c r="A933" t="s">
        <v>14</v>
      </c>
      <c r="B933" t="str">
        <f>"111708200301"</f>
        <v>111708200301</v>
      </c>
      <c r="C933" t="s">
        <v>2150</v>
      </c>
      <c r="D933" t="s">
        <v>221</v>
      </c>
      <c r="G933" t="s">
        <v>17</v>
      </c>
      <c r="H933" t="s">
        <v>51</v>
      </c>
      <c r="I933" t="s">
        <v>60</v>
      </c>
      <c r="J933" t="s">
        <v>61</v>
      </c>
      <c r="K933" t="s">
        <v>62</v>
      </c>
      <c r="L933" t="s">
        <v>22</v>
      </c>
      <c r="M933" s="1">
        <v>37850</v>
      </c>
      <c r="N933">
        <v>2003</v>
      </c>
    </row>
    <row r="934" spans="1:14">
      <c r="A934" t="s">
        <v>14</v>
      </c>
      <c r="B934" t="str">
        <f>"111103200200"</f>
        <v>111103200200</v>
      </c>
      <c r="C934" t="s">
        <v>2267</v>
      </c>
      <c r="D934" t="s">
        <v>89</v>
      </c>
      <c r="G934" t="s">
        <v>17</v>
      </c>
      <c r="H934" t="s">
        <v>51</v>
      </c>
      <c r="I934" t="s">
        <v>60</v>
      </c>
      <c r="J934" t="s">
        <v>61</v>
      </c>
      <c r="K934" t="s">
        <v>394</v>
      </c>
      <c r="L934" t="s">
        <v>22</v>
      </c>
      <c r="M934" s="1">
        <v>37326</v>
      </c>
      <c r="N934">
        <v>2002</v>
      </c>
    </row>
    <row r="935" spans="1:14">
      <c r="A935" t="s">
        <v>14</v>
      </c>
      <c r="B935" t="str">
        <f>"110801200301"</f>
        <v>110801200301</v>
      </c>
      <c r="C935" t="s">
        <v>2379</v>
      </c>
      <c r="D935" t="s">
        <v>98</v>
      </c>
      <c r="G935" t="s">
        <v>17</v>
      </c>
      <c r="H935" t="s">
        <v>51</v>
      </c>
      <c r="I935" t="s">
        <v>60</v>
      </c>
      <c r="J935" t="s">
        <v>61</v>
      </c>
      <c r="K935" t="s">
        <v>62</v>
      </c>
      <c r="L935" t="s">
        <v>22</v>
      </c>
      <c r="M935" s="1">
        <v>37629</v>
      </c>
      <c r="N935">
        <v>2003</v>
      </c>
    </row>
    <row r="936" spans="1:14">
      <c r="A936" t="s">
        <v>14</v>
      </c>
      <c r="B936" t="str">
        <f>"110508200300"</f>
        <v>110508200300</v>
      </c>
      <c r="C936" t="s">
        <v>2424</v>
      </c>
      <c r="D936" t="s">
        <v>95</v>
      </c>
      <c r="G936" t="s">
        <v>17</v>
      </c>
      <c r="H936" t="s">
        <v>51</v>
      </c>
      <c r="I936" t="s">
        <v>60</v>
      </c>
      <c r="J936" t="s">
        <v>61</v>
      </c>
      <c r="K936" t="s">
        <v>62</v>
      </c>
      <c r="L936" t="s">
        <v>22</v>
      </c>
      <c r="M936" s="1">
        <v>37838</v>
      </c>
      <c r="N936">
        <v>2003</v>
      </c>
    </row>
    <row r="937" spans="1:14">
      <c r="A937" t="s">
        <v>14</v>
      </c>
      <c r="B937" t="str">
        <f>"111406200200"</f>
        <v>111406200200</v>
      </c>
      <c r="C937" t="s">
        <v>2432</v>
      </c>
      <c r="D937" t="s">
        <v>24</v>
      </c>
      <c r="G937" t="s">
        <v>17</v>
      </c>
      <c r="H937" t="s">
        <v>51</v>
      </c>
      <c r="I937" t="s">
        <v>60</v>
      </c>
      <c r="J937" t="s">
        <v>61</v>
      </c>
      <c r="K937" t="s">
        <v>62</v>
      </c>
      <c r="L937" t="s">
        <v>63</v>
      </c>
      <c r="M937" s="1">
        <v>37421</v>
      </c>
      <c r="N937">
        <v>2002</v>
      </c>
    </row>
    <row r="938" spans="1:14">
      <c r="A938" t="s">
        <v>14</v>
      </c>
      <c r="B938" t="str">
        <f>"110811200200"</f>
        <v>110811200200</v>
      </c>
      <c r="C938" t="s">
        <v>2498</v>
      </c>
      <c r="D938" t="s">
        <v>1103</v>
      </c>
      <c r="G938" t="s">
        <v>17</v>
      </c>
      <c r="H938" t="s">
        <v>51</v>
      </c>
      <c r="I938" t="s">
        <v>60</v>
      </c>
      <c r="J938" t="s">
        <v>61</v>
      </c>
      <c r="K938" t="s">
        <v>394</v>
      </c>
      <c r="L938" t="s">
        <v>22</v>
      </c>
      <c r="M938" s="1">
        <v>37568</v>
      </c>
      <c r="N938">
        <v>2002</v>
      </c>
    </row>
    <row r="939" spans="1:14">
      <c r="A939" t="s">
        <v>14</v>
      </c>
      <c r="B939" t="str">
        <f>"111605200300"</f>
        <v>111605200300</v>
      </c>
      <c r="C939" t="s">
        <v>2610</v>
      </c>
      <c r="D939" t="s">
        <v>902</v>
      </c>
      <c r="G939" t="s">
        <v>17</v>
      </c>
      <c r="H939" t="s">
        <v>51</v>
      </c>
      <c r="I939" t="s">
        <v>60</v>
      </c>
      <c r="J939" t="s">
        <v>61</v>
      </c>
      <c r="K939" t="s">
        <v>62</v>
      </c>
      <c r="L939" t="s">
        <v>22</v>
      </c>
      <c r="M939" s="1">
        <v>37757</v>
      </c>
      <c r="N939">
        <v>2003</v>
      </c>
    </row>
    <row r="940" spans="1:14">
      <c r="A940" t="s">
        <v>14</v>
      </c>
      <c r="B940" t="str">
        <f>"111903200200"</f>
        <v>111903200200</v>
      </c>
      <c r="C940" t="s">
        <v>2610</v>
      </c>
      <c r="D940" t="s">
        <v>2611</v>
      </c>
      <c r="G940" t="s">
        <v>17</v>
      </c>
      <c r="H940" t="s">
        <v>51</v>
      </c>
      <c r="I940" t="s">
        <v>60</v>
      </c>
      <c r="J940" t="s">
        <v>61</v>
      </c>
      <c r="K940" t="s">
        <v>62</v>
      </c>
      <c r="L940" t="s">
        <v>22</v>
      </c>
      <c r="M940" s="1">
        <v>37334</v>
      </c>
      <c r="N940">
        <v>2002</v>
      </c>
    </row>
    <row r="941" spans="1:14">
      <c r="A941" t="s">
        <v>14</v>
      </c>
      <c r="B941" t="str">
        <f>"122705200500"</f>
        <v>122705200500</v>
      </c>
      <c r="C941" t="s">
        <v>641</v>
      </c>
      <c r="D941" t="s">
        <v>143</v>
      </c>
      <c r="G941" t="s">
        <v>32</v>
      </c>
      <c r="H941" t="s">
        <v>33</v>
      </c>
      <c r="I941" t="s">
        <v>90</v>
      </c>
      <c r="J941" t="s">
        <v>91</v>
      </c>
      <c r="K941" t="s">
        <v>96</v>
      </c>
      <c r="L941" t="s">
        <v>22</v>
      </c>
      <c r="M941" s="1">
        <v>38499</v>
      </c>
      <c r="N941">
        <v>2005</v>
      </c>
    </row>
    <row r="942" spans="1:14">
      <c r="A942" t="s">
        <v>14</v>
      </c>
      <c r="B942" t="str">
        <f>"122704200500"</f>
        <v>122704200500</v>
      </c>
      <c r="C942" t="s">
        <v>776</v>
      </c>
      <c r="D942" t="s">
        <v>184</v>
      </c>
      <c r="G942" t="s">
        <v>32</v>
      </c>
      <c r="H942" t="s">
        <v>33</v>
      </c>
      <c r="I942" t="s">
        <v>90</v>
      </c>
      <c r="J942" t="s">
        <v>91</v>
      </c>
      <c r="K942" t="s">
        <v>96</v>
      </c>
      <c r="L942" t="s">
        <v>22</v>
      </c>
      <c r="M942" s="1">
        <v>38469</v>
      </c>
      <c r="N942">
        <v>2005</v>
      </c>
    </row>
    <row r="943" spans="1:14">
      <c r="A943" t="s">
        <v>14</v>
      </c>
      <c r="B943" t="str">
        <f>"121607200401"</f>
        <v>121607200401</v>
      </c>
      <c r="C943" t="s">
        <v>799</v>
      </c>
      <c r="D943" t="s">
        <v>609</v>
      </c>
      <c r="G943" t="s">
        <v>32</v>
      </c>
      <c r="H943" t="s">
        <v>33</v>
      </c>
      <c r="I943" t="s">
        <v>90</v>
      </c>
      <c r="J943" t="s">
        <v>91</v>
      </c>
      <c r="K943" t="s">
        <v>96</v>
      </c>
      <c r="L943" t="s">
        <v>22</v>
      </c>
      <c r="M943" s="1">
        <v>38184</v>
      </c>
      <c r="N943">
        <v>2004</v>
      </c>
    </row>
    <row r="944" spans="1:14">
      <c r="A944" t="s">
        <v>14</v>
      </c>
      <c r="B944" t="str">
        <f>"120202200500"</f>
        <v>120202200500</v>
      </c>
      <c r="C944" t="s">
        <v>1099</v>
      </c>
      <c r="D944" t="s">
        <v>205</v>
      </c>
      <c r="G944" t="s">
        <v>32</v>
      </c>
      <c r="H944" t="s">
        <v>33</v>
      </c>
      <c r="I944" t="s">
        <v>90</v>
      </c>
      <c r="J944" t="s">
        <v>91</v>
      </c>
      <c r="K944" t="s">
        <v>462</v>
      </c>
      <c r="L944" t="s">
        <v>22</v>
      </c>
      <c r="M944" s="1">
        <v>38385</v>
      </c>
      <c r="N944">
        <v>2005</v>
      </c>
    </row>
    <row r="945" spans="1:14">
      <c r="A945" t="s">
        <v>14</v>
      </c>
      <c r="B945" t="str">
        <f>"120602200500"</f>
        <v>120602200500</v>
      </c>
      <c r="C945" t="s">
        <v>1175</v>
      </c>
      <c r="D945" t="s">
        <v>310</v>
      </c>
      <c r="G945" t="s">
        <v>32</v>
      </c>
      <c r="H945" t="s">
        <v>33</v>
      </c>
      <c r="I945" t="s">
        <v>90</v>
      </c>
      <c r="J945" t="s">
        <v>91</v>
      </c>
      <c r="K945" t="s">
        <v>462</v>
      </c>
      <c r="M945" s="1">
        <v>38389</v>
      </c>
      <c r="N945">
        <v>2005</v>
      </c>
    </row>
    <row r="946" spans="1:14">
      <c r="A946" t="s">
        <v>14</v>
      </c>
      <c r="B946" t="str">
        <f>"122307200500"</f>
        <v>122307200500</v>
      </c>
      <c r="C946" t="s">
        <v>1652</v>
      </c>
      <c r="D946" t="s">
        <v>1653</v>
      </c>
      <c r="G946" t="s">
        <v>32</v>
      </c>
      <c r="H946" t="s">
        <v>33</v>
      </c>
      <c r="I946" t="s">
        <v>90</v>
      </c>
      <c r="J946" t="s">
        <v>91</v>
      </c>
      <c r="K946" t="s">
        <v>462</v>
      </c>
      <c r="M946" s="1">
        <v>38556</v>
      </c>
      <c r="N946">
        <v>2005</v>
      </c>
    </row>
    <row r="947" spans="1:14">
      <c r="A947" t="s">
        <v>14</v>
      </c>
      <c r="B947" t="str">
        <f>"120603200400"</f>
        <v>120603200400</v>
      </c>
      <c r="C947" t="s">
        <v>1664</v>
      </c>
      <c r="D947" t="s">
        <v>58</v>
      </c>
      <c r="G947" t="s">
        <v>32</v>
      </c>
      <c r="H947" t="s">
        <v>33</v>
      </c>
      <c r="I947" t="s">
        <v>90</v>
      </c>
      <c r="J947" t="s">
        <v>91</v>
      </c>
      <c r="K947" t="s">
        <v>96</v>
      </c>
      <c r="L947" t="s">
        <v>22</v>
      </c>
      <c r="M947" s="1">
        <v>38052</v>
      </c>
      <c r="N947">
        <v>2004</v>
      </c>
    </row>
    <row r="948" spans="1:14">
      <c r="A948" t="s">
        <v>14</v>
      </c>
      <c r="B948" t="str">
        <f>"120109200500"</f>
        <v>120109200500</v>
      </c>
      <c r="C948" t="s">
        <v>1880</v>
      </c>
      <c r="D948" t="s">
        <v>203</v>
      </c>
      <c r="G948" t="s">
        <v>32</v>
      </c>
      <c r="H948" t="s">
        <v>33</v>
      </c>
      <c r="I948" t="s">
        <v>90</v>
      </c>
      <c r="J948" t="s">
        <v>91</v>
      </c>
      <c r="K948" t="s">
        <v>462</v>
      </c>
      <c r="M948" s="1">
        <v>38596</v>
      </c>
      <c r="N948">
        <v>2005</v>
      </c>
    </row>
    <row r="949" spans="1:14">
      <c r="A949" t="s">
        <v>14</v>
      </c>
      <c r="B949" t="str">
        <f>"120110200500"</f>
        <v>120110200500</v>
      </c>
      <c r="C949" t="s">
        <v>1972</v>
      </c>
      <c r="D949" t="s">
        <v>1973</v>
      </c>
      <c r="G949" t="s">
        <v>32</v>
      </c>
      <c r="H949" t="s">
        <v>33</v>
      </c>
      <c r="I949" t="s">
        <v>90</v>
      </c>
      <c r="J949" t="s">
        <v>91</v>
      </c>
      <c r="K949" t="s">
        <v>96</v>
      </c>
      <c r="L949" t="s">
        <v>22</v>
      </c>
      <c r="M949" s="1">
        <v>38626</v>
      </c>
      <c r="N949">
        <v>2005</v>
      </c>
    </row>
    <row r="950" spans="1:14">
      <c r="A950" t="s">
        <v>14</v>
      </c>
      <c r="B950" t="str">
        <f>"121403200402"</f>
        <v>121403200402</v>
      </c>
      <c r="C950" t="s">
        <v>2011</v>
      </c>
      <c r="D950" t="s">
        <v>58</v>
      </c>
      <c r="G950" t="s">
        <v>32</v>
      </c>
      <c r="H950" t="s">
        <v>33</v>
      </c>
      <c r="I950" t="s">
        <v>90</v>
      </c>
      <c r="J950" t="s">
        <v>91</v>
      </c>
      <c r="K950" t="s">
        <v>96</v>
      </c>
      <c r="L950" t="s">
        <v>63</v>
      </c>
      <c r="M950" s="1">
        <v>38060</v>
      </c>
      <c r="N950">
        <v>2004</v>
      </c>
    </row>
    <row r="951" spans="1:14">
      <c r="A951" t="s">
        <v>14</v>
      </c>
      <c r="B951" t="str">
        <f>"123005200400"</f>
        <v>123005200400</v>
      </c>
      <c r="C951" t="s">
        <v>2161</v>
      </c>
      <c r="D951" t="s">
        <v>2162</v>
      </c>
      <c r="G951" t="s">
        <v>32</v>
      </c>
      <c r="H951" t="s">
        <v>33</v>
      </c>
      <c r="I951" t="s">
        <v>90</v>
      </c>
      <c r="J951" t="s">
        <v>91</v>
      </c>
      <c r="K951" t="s">
        <v>462</v>
      </c>
      <c r="M951" s="1">
        <v>38137</v>
      </c>
      <c r="N951">
        <v>2004</v>
      </c>
    </row>
    <row r="952" spans="1:14">
      <c r="A952" t="s">
        <v>14</v>
      </c>
      <c r="B952" t="str">
        <f>"120603200401"</f>
        <v>120603200401</v>
      </c>
      <c r="C952" t="s">
        <v>2192</v>
      </c>
      <c r="D952" t="s">
        <v>64</v>
      </c>
      <c r="G952" t="s">
        <v>32</v>
      </c>
      <c r="H952" t="s">
        <v>33</v>
      </c>
      <c r="I952" t="s">
        <v>90</v>
      </c>
      <c r="J952" t="s">
        <v>91</v>
      </c>
      <c r="K952" t="s">
        <v>96</v>
      </c>
      <c r="L952" t="s">
        <v>63</v>
      </c>
      <c r="M952" s="1">
        <v>38052</v>
      </c>
      <c r="N952">
        <v>2004</v>
      </c>
    </row>
    <row r="953" spans="1:14">
      <c r="A953" t="s">
        <v>14</v>
      </c>
      <c r="B953" t="str">
        <f>"122106200500"</f>
        <v>122106200500</v>
      </c>
      <c r="C953" t="s">
        <v>2284</v>
      </c>
      <c r="D953" t="s">
        <v>310</v>
      </c>
      <c r="G953" t="s">
        <v>32</v>
      </c>
      <c r="H953" t="s">
        <v>33</v>
      </c>
      <c r="I953" t="s">
        <v>90</v>
      </c>
      <c r="J953" t="s">
        <v>91</v>
      </c>
      <c r="K953" t="s">
        <v>96</v>
      </c>
      <c r="L953" t="s">
        <v>22</v>
      </c>
      <c r="M953" s="1">
        <v>38524</v>
      </c>
      <c r="N953">
        <v>2005</v>
      </c>
    </row>
    <row r="954" spans="1:14">
      <c r="A954" t="s">
        <v>14</v>
      </c>
      <c r="B954" t="str">
        <f>"122703200500"</f>
        <v>122703200500</v>
      </c>
      <c r="C954" t="s">
        <v>2407</v>
      </c>
      <c r="D954" t="s">
        <v>310</v>
      </c>
      <c r="G954" t="s">
        <v>32</v>
      </c>
      <c r="H954" t="s">
        <v>33</v>
      </c>
      <c r="I954" t="s">
        <v>90</v>
      </c>
      <c r="J954" t="s">
        <v>91</v>
      </c>
      <c r="K954" t="s">
        <v>96</v>
      </c>
      <c r="L954" t="s">
        <v>22</v>
      </c>
      <c r="M954" s="1">
        <v>38438</v>
      </c>
      <c r="N954">
        <v>2005</v>
      </c>
    </row>
    <row r="955" spans="1:14">
      <c r="A955" t="s">
        <v>14</v>
      </c>
      <c r="B955" t="str">
        <f>"120801200400"</f>
        <v>120801200400</v>
      </c>
      <c r="C955" t="s">
        <v>2411</v>
      </c>
      <c r="D955" t="s">
        <v>353</v>
      </c>
      <c r="G955" t="s">
        <v>32</v>
      </c>
      <c r="H955" t="s">
        <v>33</v>
      </c>
      <c r="I955" t="s">
        <v>90</v>
      </c>
      <c r="J955" t="s">
        <v>91</v>
      </c>
      <c r="K955" t="s">
        <v>462</v>
      </c>
      <c r="M955" s="1">
        <v>37994</v>
      </c>
      <c r="N955">
        <v>2004</v>
      </c>
    </row>
    <row r="956" spans="1:14">
      <c r="A956" t="s">
        <v>14</v>
      </c>
      <c r="B956" t="str">
        <f>"120506200500"</f>
        <v>120506200500</v>
      </c>
      <c r="C956" t="s">
        <v>2459</v>
      </c>
      <c r="D956" t="s">
        <v>609</v>
      </c>
      <c r="G956" t="s">
        <v>32</v>
      </c>
      <c r="H956" t="s">
        <v>33</v>
      </c>
      <c r="I956" t="s">
        <v>90</v>
      </c>
      <c r="J956" t="s">
        <v>91</v>
      </c>
      <c r="K956" t="s">
        <v>96</v>
      </c>
      <c r="M956" s="1">
        <v>38508</v>
      </c>
      <c r="N956">
        <v>2005</v>
      </c>
    </row>
    <row r="957" spans="1:14">
      <c r="A957" t="s">
        <v>14</v>
      </c>
      <c r="B957" t="str">
        <f>"122503200500"</f>
        <v>122503200500</v>
      </c>
      <c r="C957" t="s">
        <v>2791</v>
      </c>
      <c r="D957" t="s">
        <v>263</v>
      </c>
      <c r="G957" t="s">
        <v>32</v>
      </c>
      <c r="H957" t="s">
        <v>33</v>
      </c>
      <c r="I957" t="s">
        <v>90</v>
      </c>
      <c r="J957" t="s">
        <v>91</v>
      </c>
      <c r="K957" t="s">
        <v>462</v>
      </c>
      <c r="M957" s="1">
        <v>38436</v>
      </c>
      <c r="N957">
        <v>2005</v>
      </c>
    </row>
    <row r="958" spans="1:14">
      <c r="A958" t="s">
        <v>14</v>
      </c>
      <c r="B958" t="str">
        <f>"120507200400"</f>
        <v>120507200400</v>
      </c>
      <c r="C958" t="s">
        <v>2839</v>
      </c>
      <c r="D958" t="s">
        <v>127</v>
      </c>
      <c r="G958" t="s">
        <v>32</v>
      </c>
      <c r="H958" t="s">
        <v>33</v>
      </c>
      <c r="I958" t="s">
        <v>90</v>
      </c>
      <c r="J958" t="s">
        <v>91</v>
      </c>
      <c r="K958" t="s">
        <v>96</v>
      </c>
      <c r="L958" t="s">
        <v>22</v>
      </c>
      <c r="M958" s="1">
        <v>38173</v>
      </c>
      <c r="N958">
        <v>2004</v>
      </c>
    </row>
    <row r="959" spans="1:14">
      <c r="A959" t="s">
        <v>14</v>
      </c>
      <c r="B959" t="str">
        <f>"121810200500"</f>
        <v>121810200500</v>
      </c>
      <c r="C959" t="s">
        <v>2861</v>
      </c>
      <c r="D959" t="s">
        <v>380</v>
      </c>
      <c r="G959" t="s">
        <v>32</v>
      </c>
      <c r="H959" t="s">
        <v>33</v>
      </c>
      <c r="I959" t="s">
        <v>90</v>
      </c>
      <c r="J959" t="s">
        <v>91</v>
      </c>
      <c r="K959" t="s">
        <v>96</v>
      </c>
      <c r="L959" t="s">
        <v>22</v>
      </c>
      <c r="M959" s="1">
        <v>38643</v>
      </c>
      <c r="N959">
        <v>2005</v>
      </c>
    </row>
    <row r="960" spans="1:14">
      <c r="A960" t="s">
        <v>14</v>
      </c>
      <c r="B960" t="str">
        <f>"122206200500"</f>
        <v>122206200500</v>
      </c>
      <c r="C960" t="s">
        <v>2898</v>
      </c>
      <c r="D960" t="s">
        <v>232</v>
      </c>
      <c r="G960" t="s">
        <v>32</v>
      </c>
      <c r="H960" t="s">
        <v>33</v>
      </c>
      <c r="I960" t="s">
        <v>90</v>
      </c>
      <c r="J960" t="s">
        <v>91</v>
      </c>
      <c r="K960" t="s">
        <v>462</v>
      </c>
      <c r="M960" s="1">
        <v>38525</v>
      </c>
      <c r="N960">
        <v>2005</v>
      </c>
    </row>
    <row r="961" spans="1:14">
      <c r="A961" t="s">
        <v>14</v>
      </c>
      <c r="B961" t="str">
        <f>"120109200301"</f>
        <v>120109200301</v>
      </c>
      <c r="C961" t="s">
        <v>487</v>
      </c>
      <c r="D961" t="s">
        <v>127</v>
      </c>
      <c r="G961" t="s">
        <v>32</v>
      </c>
      <c r="H961" t="s">
        <v>65</v>
      </c>
      <c r="I961" t="s">
        <v>90</v>
      </c>
      <c r="J961" t="s">
        <v>91</v>
      </c>
      <c r="K961" t="s">
        <v>92</v>
      </c>
      <c r="M961" s="1">
        <v>37865</v>
      </c>
      <c r="N961">
        <v>2003</v>
      </c>
    </row>
    <row r="962" spans="1:14">
      <c r="A962" t="s">
        <v>14</v>
      </c>
      <c r="B962" t="str">
        <f>"112105200300"</f>
        <v>112105200300</v>
      </c>
      <c r="C962" t="s">
        <v>511</v>
      </c>
      <c r="D962" t="s">
        <v>31</v>
      </c>
      <c r="G962" t="s">
        <v>32</v>
      </c>
      <c r="H962" t="s">
        <v>65</v>
      </c>
      <c r="I962" t="s">
        <v>90</v>
      </c>
      <c r="J962" t="s">
        <v>91</v>
      </c>
      <c r="K962" t="s">
        <v>461</v>
      </c>
      <c r="L962" t="s">
        <v>22</v>
      </c>
      <c r="M962" s="1">
        <v>37762</v>
      </c>
      <c r="N962">
        <v>2003</v>
      </c>
    </row>
    <row r="963" spans="1:14">
      <c r="A963" t="s">
        <v>14</v>
      </c>
      <c r="B963" t="str">
        <f>"121907200301"</f>
        <v>121907200301</v>
      </c>
      <c r="C963" t="s">
        <v>580</v>
      </c>
      <c r="D963" t="s">
        <v>353</v>
      </c>
      <c r="G963" t="s">
        <v>32</v>
      </c>
      <c r="H963" t="s">
        <v>65</v>
      </c>
      <c r="I963" t="s">
        <v>90</v>
      </c>
      <c r="J963" t="s">
        <v>91</v>
      </c>
      <c r="K963" t="s">
        <v>461</v>
      </c>
      <c r="L963" t="s">
        <v>22</v>
      </c>
      <c r="M963" s="1">
        <v>37821</v>
      </c>
      <c r="N963">
        <v>2003</v>
      </c>
    </row>
    <row r="964" spans="1:14">
      <c r="A964" t="s">
        <v>14</v>
      </c>
      <c r="B964" t="str">
        <f>"121303200200"</f>
        <v>121303200200</v>
      </c>
      <c r="C964" t="s">
        <v>1025</v>
      </c>
      <c r="D964" t="s">
        <v>1026</v>
      </c>
      <c r="G964" t="s">
        <v>32</v>
      </c>
      <c r="H964" t="s">
        <v>65</v>
      </c>
      <c r="I964" t="s">
        <v>90</v>
      </c>
      <c r="J964" t="s">
        <v>91</v>
      </c>
      <c r="K964" t="s">
        <v>92</v>
      </c>
      <c r="L964" t="s">
        <v>63</v>
      </c>
      <c r="M964" s="1">
        <v>37328</v>
      </c>
      <c r="N964">
        <v>2002</v>
      </c>
    </row>
    <row r="965" spans="1:14">
      <c r="A965" t="s">
        <v>14</v>
      </c>
      <c r="B965" t="str">
        <f>"122910200200"</f>
        <v>122910200200</v>
      </c>
      <c r="C965" t="s">
        <v>1092</v>
      </c>
      <c r="D965" t="s">
        <v>493</v>
      </c>
      <c r="G965" t="s">
        <v>32</v>
      </c>
      <c r="H965" t="s">
        <v>65</v>
      </c>
      <c r="I965" t="s">
        <v>90</v>
      </c>
      <c r="J965" t="s">
        <v>91</v>
      </c>
      <c r="K965" t="s">
        <v>92</v>
      </c>
      <c r="L965" t="s">
        <v>22</v>
      </c>
      <c r="M965" s="1">
        <v>37558</v>
      </c>
      <c r="N965">
        <v>2002</v>
      </c>
    </row>
    <row r="966" spans="1:14">
      <c r="A966" t="s">
        <v>14</v>
      </c>
      <c r="B966" t="str">
        <f>"121401200300"</f>
        <v>121401200300</v>
      </c>
      <c r="C966" t="s">
        <v>1268</v>
      </c>
      <c r="D966" t="s">
        <v>353</v>
      </c>
      <c r="G966" t="s">
        <v>32</v>
      </c>
      <c r="H966" t="s">
        <v>65</v>
      </c>
      <c r="I966" t="s">
        <v>90</v>
      </c>
      <c r="J966" t="s">
        <v>91</v>
      </c>
      <c r="K966" t="s">
        <v>92</v>
      </c>
      <c r="M966" s="1">
        <v>37635</v>
      </c>
      <c r="N966">
        <v>2003</v>
      </c>
    </row>
    <row r="967" spans="1:14">
      <c r="A967" t="s">
        <v>14</v>
      </c>
      <c r="B967" t="str">
        <f>"122303200300"</f>
        <v>122303200300</v>
      </c>
      <c r="C967" t="s">
        <v>1333</v>
      </c>
      <c r="D967" t="s">
        <v>205</v>
      </c>
      <c r="G967" t="s">
        <v>32</v>
      </c>
      <c r="H967" t="s">
        <v>65</v>
      </c>
      <c r="I967" t="s">
        <v>90</v>
      </c>
      <c r="J967" t="s">
        <v>91</v>
      </c>
      <c r="K967" t="s">
        <v>96</v>
      </c>
      <c r="L967" t="s">
        <v>63</v>
      </c>
      <c r="M967" s="1">
        <v>37703</v>
      </c>
      <c r="N967">
        <v>2003</v>
      </c>
    </row>
    <row r="968" spans="1:14">
      <c r="A968" t="s">
        <v>14</v>
      </c>
      <c r="B968" t="str">
        <f>"120711200300"</f>
        <v>120711200300</v>
      </c>
      <c r="C968" t="s">
        <v>1371</v>
      </c>
      <c r="D968" t="s">
        <v>127</v>
      </c>
      <c r="G968" t="s">
        <v>32</v>
      </c>
      <c r="H968" t="s">
        <v>65</v>
      </c>
      <c r="I968" t="s">
        <v>90</v>
      </c>
      <c r="J968" t="s">
        <v>91</v>
      </c>
      <c r="K968" t="s">
        <v>92</v>
      </c>
      <c r="L968" t="s">
        <v>63</v>
      </c>
      <c r="M968" s="1">
        <v>37932</v>
      </c>
      <c r="N968">
        <v>2003</v>
      </c>
    </row>
    <row r="969" spans="1:14">
      <c r="A969" t="s">
        <v>14</v>
      </c>
      <c r="B969" t="str">
        <f>"120107200300"</f>
        <v>120107200300</v>
      </c>
      <c r="C969" t="s">
        <v>1709</v>
      </c>
      <c r="D969" t="s">
        <v>143</v>
      </c>
      <c r="G969" t="s">
        <v>32</v>
      </c>
      <c r="H969" t="s">
        <v>65</v>
      </c>
      <c r="I969" t="s">
        <v>90</v>
      </c>
      <c r="J969" t="s">
        <v>91</v>
      </c>
      <c r="K969" t="s">
        <v>461</v>
      </c>
      <c r="M969" s="1">
        <v>37803</v>
      </c>
      <c r="N969">
        <v>2003</v>
      </c>
    </row>
    <row r="970" spans="1:14">
      <c r="A970" t="s">
        <v>14</v>
      </c>
      <c r="B970" t="str">
        <f>"122206200300"</f>
        <v>122206200300</v>
      </c>
      <c r="C970" t="s">
        <v>1775</v>
      </c>
      <c r="D970" t="s">
        <v>203</v>
      </c>
      <c r="G970" t="s">
        <v>32</v>
      </c>
      <c r="H970" t="s">
        <v>65</v>
      </c>
      <c r="I970" t="s">
        <v>90</v>
      </c>
      <c r="J970" t="s">
        <v>91</v>
      </c>
      <c r="K970" t="s">
        <v>92</v>
      </c>
      <c r="L970" t="s">
        <v>22</v>
      </c>
      <c r="M970" s="1">
        <v>37794</v>
      </c>
      <c r="N970">
        <v>2003</v>
      </c>
    </row>
    <row r="971" spans="1:14">
      <c r="A971" t="s">
        <v>14</v>
      </c>
      <c r="B971" t="str">
        <f>"122912200300"</f>
        <v>122912200300</v>
      </c>
      <c r="C971" t="s">
        <v>1849</v>
      </c>
      <c r="D971" t="s">
        <v>233</v>
      </c>
      <c r="G971" t="s">
        <v>32</v>
      </c>
      <c r="H971" t="s">
        <v>65</v>
      </c>
      <c r="I971" t="s">
        <v>90</v>
      </c>
      <c r="J971" t="s">
        <v>91</v>
      </c>
      <c r="K971" t="s">
        <v>461</v>
      </c>
      <c r="L971" t="s">
        <v>22</v>
      </c>
      <c r="M971" s="1">
        <v>37984</v>
      </c>
      <c r="N971">
        <v>2003</v>
      </c>
    </row>
    <row r="972" spans="1:14">
      <c r="A972" t="s">
        <v>14</v>
      </c>
      <c r="B972" t="str">
        <f>"120710200300"</f>
        <v>120710200300</v>
      </c>
      <c r="C972" t="s">
        <v>1910</v>
      </c>
      <c r="D972" t="s">
        <v>184</v>
      </c>
      <c r="G972" t="s">
        <v>32</v>
      </c>
      <c r="H972" t="s">
        <v>65</v>
      </c>
      <c r="I972" t="s">
        <v>90</v>
      </c>
      <c r="J972" t="s">
        <v>91</v>
      </c>
      <c r="K972" t="s">
        <v>96</v>
      </c>
      <c r="L972" t="s">
        <v>22</v>
      </c>
      <c r="M972" s="1">
        <v>37901</v>
      </c>
      <c r="N972">
        <v>2003</v>
      </c>
    </row>
    <row r="973" spans="1:14">
      <c r="A973" t="s">
        <v>14</v>
      </c>
      <c r="B973" t="str">
        <f>"122404200300"</f>
        <v>122404200300</v>
      </c>
      <c r="C973" t="s">
        <v>1986</v>
      </c>
      <c r="D973" t="s">
        <v>380</v>
      </c>
      <c r="G973" t="s">
        <v>32</v>
      </c>
      <c r="H973" t="s">
        <v>65</v>
      </c>
      <c r="I973" t="s">
        <v>90</v>
      </c>
      <c r="J973" t="s">
        <v>91</v>
      </c>
      <c r="K973" t="s">
        <v>92</v>
      </c>
      <c r="L973" t="s">
        <v>63</v>
      </c>
      <c r="M973" s="1">
        <v>37735</v>
      </c>
      <c r="N973">
        <v>2003</v>
      </c>
    </row>
    <row r="974" spans="1:14">
      <c r="A974" t="s">
        <v>14</v>
      </c>
      <c r="B974" t="str">
        <f>"120605200300"</f>
        <v>120605200300</v>
      </c>
      <c r="C974" t="s">
        <v>2043</v>
      </c>
      <c r="D974" t="s">
        <v>194</v>
      </c>
      <c r="G974" t="s">
        <v>32</v>
      </c>
      <c r="H974" t="s">
        <v>65</v>
      </c>
      <c r="I974" t="s">
        <v>90</v>
      </c>
      <c r="J974" t="s">
        <v>91</v>
      </c>
      <c r="K974" t="s">
        <v>92</v>
      </c>
      <c r="L974" t="s">
        <v>63</v>
      </c>
      <c r="M974" s="1">
        <v>37747</v>
      </c>
      <c r="N974">
        <v>2003</v>
      </c>
    </row>
    <row r="975" spans="1:14">
      <c r="A975" t="s">
        <v>14</v>
      </c>
      <c r="B975" t="str">
        <f>"120508200200"</f>
        <v>120508200200</v>
      </c>
      <c r="C975" t="s">
        <v>2188</v>
      </c>
      <c r="D975" t="s">
        <v>409</v>
      </c>
      <c r="G975" t="s">
        <v>32</v>
      </c>
      <c r="H975" t="s">
        <v>65</v>
      </c>
      <c r="I975" t="s">
        <v>90</v>
      </c>
      <c r="J975" t="s">
        <v>91</v>
      </c>
      <c r="K975" t="s">
        <v>92</v>
      </c>
      <c r="L975" t="s">
        <v>63</v>
      </c>
      <c r="M975" s="1">
        <v>37473</v>
      </c>
      <c r="N975">
        <v>2002</v>
      </c>
    </row>
    <row r="976" spans="1:14">
      <c r="A976" t="s">
        <v>14</v>
      </c>
      <c r="B976" t="str">
        <f>"123001200300"</f>
        <v>123001200300</v>
      </c>
      <c r="C976" t="s">
        <v>2224</v>
      </c>
      <c r="D976" t="s">
        <v>233</v>
      </c>
      <c r="G976" t="s">
        <v>32</v>
      </c>
      <c r="H976" t="s">
        <v>65</v>
      </c>
      <c r="I976" t="s">
        <v>90</v>
      </c>
      <c r="J976" t="s">
        <v>91</v>
      </c>
      <c r="K976" t="s">
        <v>92</v>
      </c>
      <c r="L976" t="s">
        <v>63</v>
      </c>
      <c r="M976" s="1">
        <v>37651</v>
      </c>
      <c r="N976">
        <v>2003</v>
      </c>
    </row>
    <row r="977" spans="1:14">
      <c r="A977" t="s">
        <v>14</v>
      </c>
      <c r="B977" t="str">
        <f>"120810200300"</f>
        <v>120810200300</v>
      </c>
      <c r="C977" t="s">
        <v>2359</v>
      </c>
      <c r="D977" t="s">
        <v>510</v>
      </c>
      <c r="G977" t="s">
        <v>32</v>
      </c>
      <c r="H977" t="s">
        <v>65</v>
      </c>
      <c r="I977" t="s">
        <v>90</v>
      </c>
      <c r="J977" t="s">
        <v>91</v>
      </c>
      <c r="K977" t="s">
        <v>92</v>
      </c>
      <c r="L977" t="s">
        <v>63</v>
      </c>
      <c r="M977" s="1">
        <v>37902</v>
      </c>
      <c r="N977">
        <v>2003</v>
      </c>
    </row>
    <row r="978" spans="1:14">
      <c r="A978" t="s">
        <v>14</v>
      </c>
      <c r="B978" t="str">
        <f>"120710200301"</f>
        <v>120710200301</v>
      </c>
      <c r="C978" t="s">
        <v>2504</v>
      </c>
      <c r="D978" t="s">
        <v>1497</v>
      </c>
      <c r="G978" t="s">
        <v>32</v>
      </c>
      <c r="H978" t="s">
        <v>65</v>
      </c>
      <c r="I978" t="s">
        <v>90</v>
      </c>
      <c r="J978" t="s">
        <v>91</v>
      </c>
      <c r="K978" t="s">
        <v>96</v>
      </c>
      <c r="L978" t="s">
        <v>22</v>
      </c>
      <c r="M978" s="1">
        <v>37901</v>
      </c>
      <c r="N978">
        <v>2003</v>
      </c>
    </row>
    <row r="979" spans="1:14">
      <c r="A979" t="s">
        <v>14</v>
      </c>
      <c r="B979" t="str">
        <f>"120106200201"</f>
        <v>120106200201</v>
      </c>
      <c r="C979" t="s">
        <v>2600</v>
      </c>
      <c r="D979" t="s">
        <v>178</v>
      </c>
      <c r="G979" t="s">
        <v>32</v>
      </c>
      <c r="H979" t="s">
        <v>65</v>
      </c>
      <c r="I979" t="s">
        <v>90</v>
      </c>
      <c r="J979" t="s">
        <v>91</v>
      </c>
      <c r="K979" t="s">
        <v>92</v>
      </c>
      <c r="L979" t="s">
        <v>63</v>
      </c>
      <c r="M979" s="1">
        <v>37408</v>
      </c>
      <c r="N979">
        <v>2002</v>
      </c>
    </row>
    <row r="980" spans="1:14">
      <c r="A980" t="s">
        <v>14</v>
      </c>
      <c r="B980" t="str">
        <f>"121210200300"</f>
        <v>121210200300</v>
      </c>
      <c r="C980" t="s">
        <v>2707</v>
      </c>
      <c r="D980" t="s">
        <v>510</v>
      </c>
      <c r="G980" t="s">
        <v>32</v>
      </c>
      <c r="H980" t="s">
        <v>65</v>
      </c>
      <c r="I980" t="s">
        <v>90</v>
      </c>
      <c r="J980" t="s">
        <v>91</v>
      </c>
      <c r="K980" t="s">
        <v>96</v>
      </c>
      <c r="M980" s="1">
        <v>37906</v>
      </c>
      <c r="N980">
        <v>2003</v>
      </c>
    </row>
    <row r="981" spans="1:14">
      <c r="A981" t="s">
        <v>14</v>
      </c>
      <c r="B981" t="str">
        <f>"122803200300"</f>
        <v>122803200300</v>
      </c>
      <c r="C981" t="s">
        <v>2870</v>
      </c>
      <c r="D981" t="s">
        <v>380</v>
      </c>
      <c r="G981" t="s">
        <v>32</v>
      </c>
      <c r="H981" t="s">
        <v>65</v>
      </c>
      <c r="I981" t="s">
        <v>90</v>
      </c>
      <c r="J981" t="s">
        <v>91</v>
      </c>
      <c r="K981" t="s">
        <v>96</v>
      </c>
      <c r="L981" t="s">
        <v>22</v>
      </c>
      <c r="M981" s="1">
        <v>37708</v>
      </c>
      <c r="N981">
        <v>2003</v>
      </c>
    </row>
    <row r="982" spans="1:14">
      <c r="A982" t="s">
        <v>14</v>
      </c>
      <c r="B982" t="str">
        <f>"110202200200"</f>
        <v>110202200200</v>
      </c>
      <c r="C982" t="s">
        <v>2878</v>
      </c>
      <c r="D982" t="s">
        <v>310</v>
      </c>
      <c r="G982" t="s">
        <v>32</v>
      </c>
      <c r="H982" t="s">
        <v>65</v>
      </c>
      <c r="I982" t="s">
        <v>90</v>
      </c>
      <c r="J982" t="s">
        <v>91</v>
      </c>
      <c r="K982" t="s">
        <v>490</v>
      </c>
      <c r="L982" t="s">
        <v>22</v>
      </c>
      <c r="M982" s="1">
        <v>37289</v>
      </c>
      <c r="N982">
        <v>2002</v>
      </c>
    </row>
    <row r="983" spans="1:14">
      <c r="A983" t="s">
        <v>14</v>
      </c>
      <c r="B983" t="str">
        <f>"120303200300"</f>
        <v>120303200300</v>
      </c>
      <c r="C983" t="s">
        <v>2899</v>
      </c>
      <c r="D983" t="s">
        <v>380</v>
      </c>
      <c r="G983" t="s">
        <v>32</v>
      </c>
      <c r="H983" t="s">
        <v>65</v>
      </c>
      <c r="I983" t="s">
        <v>90</v>
      </c>
      <c r="J983" t="s">
        <v>91</v>
      </c>
      <c r="K983" t="s">
        <v>92</v>
      </c>
      <c r="L983" t="s">
        <v>63</v>
      </c>
      <c r="M983" s="1">
        <v>37683</v>
      </c>
      <c r="N983">
        <v>2003</v>
      </c>
    </row>
    <row r="984" spans="1:14">
      <c r="A984" t="s">
        <v>14</v>
      </c>
      <c r="B984" t="str">
        <f>"121902200201"</f>
        <v>121902200201</v>
      </c>
      <c r="C984" t="s">
        <v>2931</v>
      </c>
      <c r="D984" t="s">
        <v>353</v>
      </c>
      <c r="G984" t="s">
        <v>32</v>
      </c>
      <c r="H984" t="s">
        <v>65</v>
      </c>
      <c r="I984" t="s">
        <v>90</v>
      </c>
      <c r="J984" t="s">
        <v>91</v>
      </c>
      <c r="K984" t="s">
        <v>92</v>
      </c>
      <c r="L984" t="s">
        <v>22</v>
      </c>
      <c r="M984" s="1">
        <v>37306</v>
      </c>
      <c r="N984">
        <v>2002</v>
      </c>
    </row>
    <row r="985" spans="1:14">
      <c r="A985" t="s">
        <v>14</v>
      </c>
      <c r="B985" t="str">
        <f>"122311199300"</f>
        <v>122311199300</v>
      </c>
      <c r="C985" t="s">
        <v>495</v>
      </c>
      <c r="D985" t="s">
        <v>496</v>
      </c>
      <c r="G985" t="s">
        <v>32</v>
      </c>
      <c r="H985" t="s">
        <v>59</v>
      </c>
      <c r="I985" t="s">
        <v>90</v>
      </c>
      <c r="J985" t="s">
        <v>91</v>
      </c>
      <c r="K985" t="s">
        <v>92</v>
      </c>
      <c r="L985" t="s">
        <v>48</v>
      </c>
      <c r="M985" s="1">
        <v>34296</v>
      </c>
      <c r="N985">
        <v>1993</v>
      </c>
    </row>
    <row r="986" spans="1:14">
      <c r="A986" t="s">
        <v>14</v>
      </c>
      <c r="B986" t="str">
        <f>"122104199300"</f>
        <v>122104199300</v>
      </c>
      <c r="C986" t="s">
        <v>1030</v>
      </c>
      <c r="D986" t="s">
        <v>127</v>
      </c>
      <c r="G986" t="s">
        <v>32</v>
      </c>
      <c r="H986" t="s">
        <v>59</v>
      </c>
      <c r="I986" t="s">
        <v>90</v>
      </c>
      <c r="J986" t="s">
        <v>91</v>
      </c>
      <c r="K986" t="s">
        <v>596</v>
      </c>
      <c r="L986" t="s">
        <v>48</v>
      </c>
      <c r="M986" s="1">
        <v>34080</v>
      </c>
      <c r="N986">
        <v>1993</v>
      </c>
    </row>
    <row r="987" spans="1:14">
      <c r="A987" t="s">
        <v>14</v>
      </c>
      <c r="B987" t="str">
        <f>"120109199600"</f>
        <v>120109199600</v>
      </c>
      <c r="C987" t="s">
        <v>1599</v>
      </c>
      <c r="D987" t="s">
        <v>232</v>
      </c>
      <c r="G987" t="s">
        <v>32</v>
      </c>
      <c r="H987" t="s">
        <v>59</v>
      </c>
      <c r="I987" t="s">
        <v>90</v>
      </c>
      <c r="J987" t="s">
        <v>91</v>
      </c>
      <c r="K987" t="s">
        <v>92</v>
      </c>
      <c r="L987" t="s">
        <v>48</v>
      </c>
      <c r="M987" s="1">
        <v>35309</v>
      </c>
      <c r="N987">
        <v>1996</v>
      </c>
    </row>
    <row r="988" spans="1:14">
      <c r="A988" t="s">
        <v>14</v>
      </c>
      <c r="B988" t="str">
        <f>"120503199700"</f>
        <v>120503199700</v>
      </c>
      <c r="C988" t="s">
        <v>1650</v>
      </c>
      <c r="D988" t="s">
        <v>143</v>
      </c>
      <c r="G988" t="s">
        <v>32</v>
      </c>
      <c r="H988" t="s">
        <v>59</v>
      </c>
      <c r="I988" t="s">
        <v>90</v>
      </c>
      <c r="J988" t="s">
        <v>91</v>
      </c>
      <c r="K988" t="s">
        <v>92</v>
      </c>
      <c r="L988" t="s">
        <v>48</v>
      </c>
      <c r="M988" s="1">
        <v>35494</v>
      </c>
      <c r="N988">
        <v>1997</v>
      </c>
    </row>
    <row r="989" spans="1:14">
      <c r="A989" t="s">
        <v>14</v>
      </c>
      <c r="B989" t="str">
        <f>"121205199802"</f>
        <v>121205199802</v>
      </c>
      <c r="C989" t="s">
        <v>1818</v>
      </c>
      <c r="D989" t="s">
        <v>184</v>
      </c>
      <c r="G989" t="s">
        <v>32</v>
      </c>
      <c r="H989" t="s">
        <v>59</v>
      </c>
      <c r="I989" t="s">
        <v>90</v>
      </c>
      <c r="J989" t="s">
        <v>91</v>
      </c>
      <c r="K989" t="s">
        <v>92</v>
      </c>
      <c r="L989" t="s">
        <v>48</v>
      </c>
      <c r="M989" s="1">
        <v>35927</v>
      </c>
      <c r="N989">
        <v>1998</v>
      </c>
    </row>
    <row r="990" spans="1:14">
      <c r="A990" t="s">
        <v>14</v>
      </c>
      <c r="B990" t="str">
        <f>"122508199100"</f>
        <v>122508199100</v>
      </c>
      <c r="C990" t="s">
        <v>1993</v>
      </c>
      <c r="D990" t="s">
        <v>64</v>
      </c>
      <c r="G990" t="s">
        <v>32</v>
      </c>
      <c r="H990" t="s">
        <v>59</v>
      </c>
      <c r="I990" t="s">
        <v>90</v>
      </c>
      <c r="J990" t="s">
        <v>91</v>
      </c>
      <c r="K990" t="s">
        <v>96</v>
      </c>
      <c r="L990" t="s">
        <v>29</v>
      </c>
      <c r="M990" s="1">
        <v>33475</v>
      </c>
      <c r="N990">
        <v>1991</v>
      </c>
    </row>
    <row r="991" spans="1:14">
      <c r="A991" t="s">
        <v>14</v>
      </c>
      <c r="B991" t="str">
        <f>"122208199400"</f>
        <v>122208199400</v>
      </c>
      <c r="C991" t="s">
        <v>1999</v>
      </c>
      <c r="D991" t="s">
        <v>139</v>
      </c>
      <c r="G991" t="s">
        <v>32</v>
      </c>
      <c r="H991" t="s">
        <v>59</v>
      </c>
      <c r="I991" t="s">
        <v>90</v>
      </c>
      <c r="J991" t="s">
        <v>91</v>
      </c>
      <c r="K991" t="s">
        <v>2000</v>
      </c>
      <c r="L991" t="s">
        <v>48</v>
      </c>
      <c r="M991" s="1">
        <v>34568</v>
      </c>
      <c r="N991">
        <v>1994</v>
      </c>
    </row>
    <row r="992" spans="1:14">
      <c r="A992" t="s">
        <v>14</v>
      </c>
      <c r="B992" t="str">
        <f>"121501199803"</f>
        <v>121501199803</v>
      </c>
      <c r="C992" t="s">
        <v>2182</v>
      </c>
      <c r="D992" t="s">
        <v>194</v>
      </c>
      <c r="G992" t="s">
        <v>32</v>
      </c>
      <c r="H992" t="s">
        <v>59</v>
      </c>
      <c r="I992" t="s">
        <v>90</v>
      </c>
      <c r="J992" t="s">
        <v>91</v>
      </c>
      <c r="K992" t="s">
        <v>92</v>
      </c>
      <c r="L992" t="s">
        <v>63</v>
      </c>
      <c r="M992" s="1">
        <v>35810</v>
      </c>
      <c r="N992">
        <v>1998</v>
      </c>
    </row>
    <row r="993" spans="1:14">
      <c r="A993" t="s">
        <v>14</v>
      </c>
      <c r="B993" t="str">
        <f>"122303199801"</f>
        <v>122303199801</v>
      </c>
      <c r="C993" t="s">
        <v>2660</v>
      </c>
      <c r="D993" t="s">
        <v>127</v>
      </c>
      <c r="G993" t="s">
        <v>32</v>
      </c>
      <c r="H993" t="s">
        <v>59</v>
      </c>
      <c r="I993" t="s">
        <v>90</v>
      </c>
      <c r="J993" t="s">
        <v>91</v>
      </c>
      <c r="K993" t="s">
        <v>96</v>
      </c>
      <c r="L993" t="s">
        <v>63</v>
      </c>
      <c r="M993" s="1">
        <v>35877</v>
      </c>
      <c r="N993">
        <v>1998</v>
      </c>
    </row>
    <row r="994" spans="1:14">
      <c r="A994" t="s">
        <v>14</v>
      </c>
      <c r="B994" t="str">
        <f>"120301199900"</f>
        <v>120301199900</v>
      </c>
      <c r="C994" t="s">
        <v>434</v>
      </c>
      <c r="D994" t="s">
        <v>203</v>
      </c>
      <c r="G994" t="s">
        <v>32</v>
      </c>
      <c r="H994" t="s">
        <v>44</v>
      </c>
      <c r="I994" t="s">
        <v>90</v>
      </c>
      <c r="J994" t="s">
        <v>91</v>
      </c>
      <c r="K994" t="s">
        <v>92</v>
      </c>
      <c r="L994" t="s">
        <v>22</v>
      </c>
      <c r="M994" s="1">
        <v>36163</v>
      </c>
      <c r="N994">
        <v>1999</v>
      </c>
    </row>
    <row r="995" spans="1:14">
      <c r="A995" t="s">
        <v>14</v>
      </c>
      <c r="B995" t="str">
        <f>"122010200100"</f>
        <v>122010200100</v>
      </c>
      <c r="C995" t="s">
        <v>586</v>
      </c>
      <c r="D995" t="s">
        <v>587</v>
      </c>
      <c r="G995" t="s">
        <v>32</v>
      </c>
      <c r="H995" t="s">
        <v>44</v>
      </c>
      <c r="I995" t="s">
        <v>90</v>
      </c>
      <c r="J995" t="s">
        <v>91</v>
      </c>
      <c r="K995" t="s">
        <v>92</v>
      </c>
      <c r="M995" s="1">
        <v>37184</v>
      </c>
      <c r="N995">
        <v>2001</v>
      </c>
    </row>
    <row r="996" spans="1:14">
      <c r="A996" t="s">
        <v>14</v>
      </c>
      <c r="B996" t="str">
        <f>"121410200001"</f>
        <v>121410200001</v>
      </c>
      <c r="C996" t="s">
        <v>661</v>
      </c>
      <c r="D996" t="s">
        <v>184</v>
      </c>
      <c r="G996" t="s">
        <v>32</v>
      </c>
      <c r="H996" t="s">
        <v>44</v>
      </c>
      <c r="I996" t="s">
        <v>90</v>
      </c>
      <c r="J996" t="s">
        <v>91</v>
      </c>
      <c r="K996" t="s">
        <v>92</v>
      </c>
      <c r="L996" t="s">
        <v>22</v>
      </c>
      <c r="M996" s="1">
        <v>36813</v>
      </c>
      <c r="N996">
        <v>2000</v>
      </c>
    </row>
    <row r="997" spans="1:14">
      <c r="A997" t="s">
        <v>14</v>
      </c>
      <c r="B997" t="str">
        <f>"121808200000"</f>
        <v>121808200000</v>
      </c>
      <c r="C997" t="s">
        <v>698</v>
      </c>
      <c r="D997" t="s">
        <v>541</v>
      </c>
      <c r="G997" t="s">
        <v>32</v>
      </c>
      <c r="H997" t="s">
        <v>44</v>
      </c>
      <c r="I997" t="s">
        <v>90</v>
      </c>
      <c r="J997" t="s">
        <v>91</v>
      </c>
      <c r="K997" t="s">
        <v>490</v>
      </c>
      <c r="L997" t="s">
        <v>63</v>
      </c>
      <c r="M997" s="1">
        <v>36756</v>
      </c>
      <c r="N997">
        <v>2000</v>
      </c>
    </row>
    <row r="998" spans="1:14">
      <c r="A998" t="s">
        <v>14</v>
      </c>
      <c r="B998" t="str">
        <f>"121109200101"</f>
        <v>121109200101</v>
      </c>
      <c r="C998" t="s">
        <v>787</v>
      </c>
      <c r="D998" t="s">
        <v>127</v>
      </c>
      <c r="G998" t="s">
        <v>32</v>
      </c>
      <c r="H998" t="s">
        <v>44</v>
      </c>
      <c r="I998" t="s">
        <v>90</v>
      </c>
      <c r="J998" t="s">
        <v>91</v>
      </c>
      <c r="K998" t="s">
        <v>92</v>
      </c>
      <c r="L998" t="s">
        <v>63</v>
      </c>
      <c r="M998" s="1">
        <v>37145</v>
      </c>
      <c r="N998">
        <v>2001</v>
      </c>
    </row>
    <row r="999" spans="1:14">
      <c r="A999" t="s">
        <v>14</v>
      </c>
      <c r="B999" t="str">
        <f>"120306200000"</f>
        <v>120306200000</v>
      </c>
      <c r="C999" t="s">
        <v>918</v>
      </c>
      <c r="D999" t="s">
        <v>127</v>
      </c>
      <c r="G999" t="s">
        <v>32</v>
      </c>
      <c r="H999" t="s">
        <v>44</v>
      </c>
      <c r="I999" t="s">
        <v>90</v>
      </c>
      <c r="J999" t="s">
        <v>91</v>
      </c>
      <c r="K999" t="s">
        <v>96</v>
      </c>
      <c r="L999" t="s">
        <v>63</v>
      </c>
      <c r="M999" s="1">
        <v>36680</v>
      </c>
      <c r="N999">
        <v>2000</v>
      </c>
    </row>
    <row r="1000" spans="1:14">
      <c r="A1000" t="s">
        <v>14</v>
      </c>
      <c r="B1000" t="str">
        <f>"122301200100"</f>
        <v>122301200100</v>
      </c>
      <c r="C1000" t="s">
        <v>1110</v>
      </c>
      <c r="D1000" t="s">
        <v>232</v>
      </c>
      <c r="G1000" t="s">
        <v>32</v>
      </c>
      <c r="H1000" t="s">
        <v>44</v>
      </c>
      <c r="I1000" t="s">
        <v>90</v>
      </c>
      <c r="J1000" t="s">
        <v>91</v>
      </c>
      <c r="K1000" t="s">
        <v>96</v>
      </c>
      <c r="L1000" t="s">
        <v>63</v>
      </c>
      <c r="M1000" s="1">
        <v>36914</v>
      </c>
      <c r="N1000">
        <v>2001</v>
      </c>
    </row>
    <row r="1001" spans="1:14">
      <c r="A1001" t="s">
        <v>14</v>
      </c>
      <c r="B1001" t="str">
        <f>"122810200100"</f>
        <v>122810200100</v>
      </c>
      <c r="C1001" t="s">
        <v>1801</v>
      </c>
      <c r="D1001" t="s">
        <v>493</v>
      </c>
      <c r="G1001" t="s">
        <v>32</v>
      </c>
      <c r="H1001" t="s">
        <v>44</v>
      </c>
      <c r="I1001" t="s">
        <v>90</v>
      </c>
      <c r="J1001" t="s">
        <v>91</v>
      </c>
      <c r="K1001" t="s">
        <v>92</v>
      </c>
      <c r="L1001" t="s">
        <v>63</v>
      </c>
      <c r="M1001" s="1">
        <v>37192</v>
      </c>
      <c r="N1001">
        <v>2001</v>
      </c>
    </row>
    <row r="1002" spans="1:14">
      <c r="A1002" t="s">
        <v>14</v>
      </c>
      <c r="B1002" t="str">
        <f>"122208200100"</f>
        <v>122208200100</v>
      </c>
      <c r="C1002" t="s">
        <v>2082</v>
      </c>
      <c r="D1002" t="s">
        <v>970</v>
      </c>
      <c r="G1002" t="s">
        <v>32</v>
      </c>
      <c r="H1002" t="s">
        <v>44</v>
      </c>
      <c r="I1002" t="s">
        <v>90</v>
      </c>
      <c r="J1002" t="s">
        <v>91</v>
      </c>
      <c r="K1002" t="s">
        <v>490</v>
      </c>
      <c r="L1002" t="s">
        <v>63</v>
      </c>
      <c r="M1002" s="1">
        <v>37125</v>
      </c>
      <c r="N1002">
        <v>2001</v>
      </c>
    </row>
    <row r="1003" spans="1:14">
      <c r="A1003" t="s">
        <v>14</v>
      </c>
      <c r="B1003" t="str">
        <f>"122106200102"</f>
        <v>122106200102</v>
      </c>
      <c r="C1003" t="s">
        <v>2207</v>
      </c>
      <c r="D1003" t="s">
        <v>139</v>
      </c>
      <c r="G1003" t="s">
        <v>32</v>
      </c>
      <c r="H1003" t="s">
        <v>44</v>
      </c>
      <c r="I1003" t="s">
        <v>90</v>
      </c>
      <c r="J1003" t="s">
        <v>91</v>
      </c>
      <c r="K1003" t="s">
        <v>461</v>
      </c>
      <c r="M1003" s="1">
        <v>37063</v>
      </c>
      <c r="N1003">
        <v>2001</v>
      </c>
    </row>
    <row r="1004" spans="1:14">
      <c r="A1004" t="s">
        <v>14</v>
      </c>
      <c r="B1004" t="str">
        <f>"122508200000"</f>
        <v>122508200000</v>
      </c>
      <c r="C1004" t="s">
        <v>2497</v>
      </c>
      <c r="D1004" t="s">
        <v>725</v>
      </c>
      <c r="G1004" t="s">
        <v>32</v>
      </c>
      <c r="H1004" t="s">
        <v>44</v>
      </c>
      <c r="I1004" t="s">
        <v>90</v>
      </c>
      <c r="J1004" t="s">
        <v>91</v>
      </c>
      <c r="K1004" t="s">
        <v>96</v>
      </c>
      <c r="L1004" t="s">
        <v>63</v>
      </c>
      <c r="M1004" s="1">
        <v>36763</v>
      </c>
      <c r="N1004">
        <v>2000</v>
      </c>
    </row>
    <row r="1005" spans="1:14">
      <c r="A1005" t="s">
        <v>14</v>
      </c>
      <c r="B1005" t="str">
        <f>"110709198900"</f>
        <v>110709198900</v>
      </c>
      <c r="C1005" t="s">
        <v>595</v>
      </c>
      <c r="D1005" t="s">
        <v>89</v>
      </c>
      <c r="G1005" t="s">
        <v>17</v>
      </c>
      <c r="H1005" t="s">
        <v>25</v>
      </c>
      <c r="I1005" t="s">
        <v>90</v>
      </c>
      <c r="J1005" t="s">
        <v>91</v>
      </c>
      <c r="K1005" t="s">
        <v>596</v>
      </c>
      <c r="L1005" t="s">
        <v>29</v>
      </c>
      <c r="M1005" s="1">
        <v>32758</v>
      </c>
      <c r="N1005">
        <v>1989</v>
      </c>
    </row>
    <row r="1006" spans="1:14">
      <c r="A1006" t="s">
        <v>14</v>
      </c>
      <c r="B1006" t="str">
        <f>"110201199801"</f>
        <v>110201199801</v>
      </c>
      <c r="C1006" t="s">
        <v>850</v>
      </c>
      <c r="D1006" t="s">
        <v>16</v>
      </c>
      <c r="G1006" t="s">
        <v>17</v>
      </c>
      <c r="H1006" t="s">
        <v>25</v>
      </c>
      <c r="I1006" t="s">
        <v>90</v>
      </c>
      <c r="J1006" t="s">
        <v>91</v>
      </c>
      <c r="K1006" t="s">
        <v>92</v>
      </c>
      <c r="L1006" t="s">
        <v>22</v>
      </c>
      <c r="M1006" s="1">
        <v>35797</v>
      </c>
      <c r="N1006">
        <v>1998</v>
      </c>
    </row>
    <row r="1007" spans="1:14">
      <c r="A1007" t="s">
        <v>14</v>
      </c>
      <c r="B1007" t="str">
        <f>"111711199200"</f>
        <v>111711199200</v>
      </c>
      <c r="C1007" t="s">
        <v>953</v>
      </c>
      <c r="D1007" t="s">
        <v>115</v>
      </c>
      <c r="G1007" t="s">
        <v>17</v>
      </c>
      <c r="H1007" t="s">
        <v>25</v>
      </c>
      <c r="I1007" t="s">
        <v>90</v>
      </c>
      <c r="J1007" t="s">
        <v>91</v>
      </c>
      <c r="K1007" t="s">
        <v>92</v>
      </c>
      <c r="L1007" t="s">
        <v>63</v>
      </c>
      <c r="M1007" s="1">
        <v>33925</v>
      </c>
      <c r="N1007">
        <v>1992</v>
      </c>
    </row>
    <row r="1008" spans="1:14">
      <c r="A1008" t="s">
        <v>14</v>
      </c>
      <c r="B1008" t="str">
        <f>"112412199800"</f>
        <v>112412199800</v>
      </c>
      <c r="C1008" t="s">
        <v>966</v>
      </c>
      <c r="D1008" t="s">
        <v>259</v>
      </c>
      <c r="G1008" t="s">
        <v>17</v>
      </c>
      <c r="H1008" t="s">
        <v>25</v>
      </c>
      <c r="I1008" t="s">
        <v>90</v>
      </c>
      <c r="J1008" t="s">
        <v>91</v>
      </c>
      <c r="K1008" t="s">
        <v>92</v>
      </c>
      <c r="L1008" t="s">
        <v>63</v>
      </c>
      <c r="M1008" s="1">
        <v>36153</v>
      </c>
      <c r="N1008">
        <v>1998</v>
      </c>
    </row>
    <row r="1009" spans="1:14">
      <c r="A1009" t="s">
        <v>14</v>
      </c>
      <c r="B1009" t="str">
        <f>"111906199400"</f>
        <v>111906199400</v>
      </c>
      <c r="C1009" t="s">
        <v>1202</v>
      </c>
      <c r="D1009" t="s">
        <v>209</v>
      </c>
      <c r="G1009" t="s">
        <v>17</v>
      </c>
      <c r="H1009" t="s">
        <v>25</v>
      </c>
      <c r="I1009" t="s">
        <v>90</v>
      </c>
      <c r="J1009" t="s">
        <v>91</v>
      </c>
      <c r="K1009" t="s">
        <v>96</v>
      </c>
      <c r="L1009" t="s">
        <v>48</v>
      </c>
      <c r="M1009" s="1">
        <v>34504</v>
      </c>
      <c r="N1009">
        <v>1994</v>
      </c>
    </row>
    <row r="1010" spans="1:14">
      <c r="A1010" t="s">
        <v>14</v>
      </c>
      <c r="B1010" t="str">
        <f>"112607199800"</f>
        <v>112607199800</v>
      </c>
      <c r="C1010" t="s">
        <v>1779</v>
      </c>
      <c r="D1010" t="s">
        <v>129</v>
      </c>
      <c r="G1010" t="s">
        <v>17</v>
      </c>
      <c r="H1010" t="s">
        <v>25</v>
      </c>
      <c r="I1010" t="s">
        <v>90</v>
      </c>
      <c r="J1010" t="s">
        <v>91</v>
      </c>
      <c r="K1010" t="s">
        <v>92</v>
      </c>
      <c r="L1010" t="s">
        <v>48</v>
      </c>
      <c r="M1010" s="1">
        <v>36002</v>
      </c>
      <c r="N1010">
        <v>1998</v>
      </c>
    </row>
    <row r="1011" spans="1:14">
      <c r="A1011" t="s">
        <v>14</v>
      </c>
      <c r="B1011" t="str">
        <f>"111810199500"</f>
        <v>111810199500</v>
      </c>
      <c r="C1011" t="s">
        <v>1989</v>
      </c>
      <c r="D1011" t="s">
        <v>221</v>
      </c>
      <c r="G1011" t="s">
        <v>17</v>
      </c>
      <c r="H1011" t="s">
        <v>25</v>
      </c>
      <c r="I1011" t="s">
        <v>90</v>
      </c>
      <c r="J1011" t="s">
        <v>91</v>
      </c>
      <c r="K1011" t="s">
        <v>92</v>
      </c>
      <c r="L1011" t="s">
        <v>48</v>
      </c>
      <c r="M1011" s="1">
        <v>34990</v>
      </c>
      <c r="N1011">
        <v>1995</v>
      </c>
    </row>
    <row r="1012" spans="1:14">
      <c r="A1012" t="s">
        <v>14</v>
      </c>
      <c r="B1012" t="str">
        <f>"110603199500"</f>
        <v>110603199500</v>
      </c>
      <c r="C1012" t="s">
        <v>2241</v>
      </c>
      <c r="D1012" t="s">
        <v>221</v>
      </c>
      <c r="G1012" t="s">
        <v>17</v>
      </c>
      <c r="H1012" t="s">
        <v>25</v>
      </c>
      <c r="I1012" t="s">
        <v>90</v>
      </c>
      <c r="J1012" t="s">
        <v>91</v>
      </c>
      <c r="K1012" t="s">
        <v>92</v>
      </c>
      <c r="L1012" t="s">
        <v>63</v>
      </c>
      <c r="M1012" s="1">
        <v>34764</v>
      </c>
      <c r="N1012">
        <v>1995</v>
      </c>
    </row>
    <row r="1013" spans="1:14">
      <c r="A1013" t="s">
        <v>14</v>
      </c>
      <c r="B1013" t="str">
        <f>"111707200000"</f>
        <v>111707200000</v>
      </c>
      <c r="C1013" t="s">
        <v>267</v>
      </c>
      <c r="D1013" t="s">
        <v>268</v>
      </c>
      <c r="G1013" t="s">
        <v>17</v>
      </c>
      <c r="H1013" t="s">
        <v>18</v>
      </c>
      <c r="I1013" t="s">
        <v>90</v>
      </c>
      <c r="J1013" t="s">
        <v>91</v>
      </c>
      <c r="K1013" t="s">
        <v>92</v>
      </c>
      <c r="L1013" t="s">
        <v>63</v>
      </c>
      <c r="M1013" s="1">
        <v>36724</v>
      </c>
      <c r="N1013">
        <v>2000</v>
      </c>
    </row>
    <row r="1014" spans="1:14">
      <c r="A1014" t="s">
        <v>14</v>
      </c>
      <c r="B1014" t="str">
        <f>"112010200102"</f>
        <v>112010200102</v>
      </c>
      <c r="C1014" t="s">
        <v>341</v>
      </c>
      <c r="D1014" t="s">
        <v>342</v>
      </c>
      <c r="G1014" t="s">
        <v>17</v>
      </c>
      <c r="H1014" t="s">
        <v>18</v>
      </c>
      <c r="I1014" t="s">
        <v>90</v>
      </c>
      <c r="J1014" t="s">
        <v>91</v>
      </c>
      <c r="K1014" t="s">
        <v>92</v>
      </c>
      <c r="L1014" t="s">
        <v>22</v>
      </c>
      <c r="M1014" s="1">
        <v>37184</v>
      </c>
      <c r="N1014">
        <v>2001</v>
      </c>
    </row>
    <row r="1015" spans="1:14">
      <c r="A1015" t="s">
        <v>14</v>
      </c>
      <c r="B1015" t="str">
        <f>"110504200101"</f>
        <v>110504200101</v>
      </c>
      <c r="C1015" t="s">
        <v>432</v>
      </c>
      <c r="D1015" t="s">
        <v>115</v>
      </c>
      <c r="G1015" t="s">
        <v>17</v>
      </c>
      <c r="H1015" t="s">
        <v>18</v>
      </c>
      <c r="I1015" t="s">
        <v>90</v>
      </c>
      <c r="J1015" t="s">
        <v>91</v>
      </c>
      <c r="K1015" t="s">
        <v>96</v>
      </c>
      <c r="L1015" t="s">
        <v>63</v>
      </c>
      <c r="M1015" s="1">
        <v>36986</v>
      </c>
      <c r="N1015">
        <v>2001</v>
      </c>
    </row>
    <row r="1016" spans="1:14">
      <c r="A1016" t="s">
        <v>14</v>
      </c>
      <c r="B1016" t="str">
        <f>"112204199900"</f>
        <v>112204199900</v>
      </c>
      <c r="C1016" t="s">
        <v>489</v>
      </c>
      <c r="D1016" t="s">
        <v>24</v>
      </c>
      <c r="G1016" t="s">
        <v>17</v>
      </c>
      <c r="H1016" t="s">
        <v>18</v>
      </c>
      <c r="I1016" t="s">
        <v>90</v>
      </c>
      <c r="J1016" t="s">
        <v>91</v>
      </c>
      <c r="K1016" t="s">
        <v>490</v>
      </c>
      <c r="L1016" t="s">
        <v>22</v>
      </c>
      <c r="M1016" s="1">
        <v>36272</v>
      </c>
      <c r="N1016">
        <v>1999</v>
      </c>
    </row>
    <row r="1017" spans="1:14">
      <c r="A1017" t="s">
        <v>14</v>
      </c>
      <c r="B1017" t="str">
        <f>"110212200001"</f>
        <v>110212200001</v>
      </c>
      <c r="C1017" t="s">
        <v>573</v>
      </c>
      <c r="D1017" t="s">
        <v>221</v>
      </c>
      <c r="G1017" t="s">
        <v>17</v>
      </c>
      <c r="H1017" t="s">
        <v>18</v>
      </c>
      <c r="I1017" t="s">
        <v>90</v>
      </c>
      <c r="J1017" t="s">
        <v>91</v>
      </c>
      <c r="K1017" t="s">
        <v>92</v>
      </c>
      <c r="L1017" t="s">
        <v>22</v>
      </c>
      <c r="M1017" s="1">
        <v>36862</v>
      </c>
      <c r="N1017">
        <v>2000</v>
      </c>
    </row>
    <row r="1018" spans="1:14">
      <c r="A1018" t="s">
        <v>14</v>
      </c>
      <c r="B1018" t="str">
        <f>"110907200100"</f>
        <v>110907200100</v>
      </c>
      <c r="C1018" t="s">
        <v>589</v>
      </c>
      <c r="D1018" t="s">
        <v>590</v>
      </c>
      <c r="G1018" t="s">
        <v>17</v>
      </c>
      <c r="H1018" t="s">
        <v>18</v>
      </c>
      <c r="I1018" t="s">
        <v>90</v>
      </c>
      <c r="J1018" t="s">
        <v>91</v>
      </c>
      <c r="K1018" t="s">
        <v>92</v>
      </c>
      <c r="L1018" t="s">
        <v>22</v>
      </c>
      <c r="M1018" s="1">
        <v>37081</v>
      </c>
      <c r="N1018">
        <v>2001</v>
      </c>
    </row>
    <row r="1019" spans="1:14">
      <c r="A1019" t="s">
        <v>14</v>
      </c>
      <c r="B1019" t="str">
        <f>"110508200001"</f>
        <v>110508200001</v>
      </c>
      <c r="C1019" t="s">
        <v>822</v>
      </c>
      <c r="D1019" t="s">
        <v>534</v>
      </c>
      <c r="G1019" t="s">
        <v>17</v>
      </c>
      <c r="H1019" t="s">
        <v>18</v>
      </c>
      <c r="I1019" t="s">
        <v>90</v>
      </c>
      <c r="J1019" t="s">
        <v>91</v>
      </c>
      <c r="K1019" t="s">
        <v>92</v>
      </c>
      <c r="L1019" t="s">
        <v>63</v>
      </c>
      <c r="M1019" s="1">
        <v>36743</v>
      </c>
      <c r="N1019">
        <v>2000</v>
      </c>
    </row>
    <row r="1020" spans="1:14">
      <c r="A1020" t="s">
        <v>14</v>
      </c>
      <c r="B1020" t="str">
        <f>"112312200100"</f>
        <v>112312200100</v>
      </c>
      <c r="C1020" t="s">
        <v>830</v>
      </c>
      <c r="D1020" t="s">
        <v>782</v>
      </c>
      <c r="G1020" t="s">
        <v>17</v>
      </c>
      <c r="H1020" t="s">
        <v>18</v>
      </c>
      <c r="I1020" t="s">
        <v>90</v>
      </c>
      <c r="J1020" t="s">
        <v>91</v>
      </c>
      <c r="K1020" t="s">
        <v>92</v>
      </c>
      <c r="L1020" t="s">
        <v>202</v>
      </c>
      <c r="M1020" s="1">
        <v>37248</v>
      </c>
      <c r="N1020">
        <v>2001</v>
      </c>
    </row>
    <row r="1021" spans="1:14">
      <c r="A1021" t="s">
        <v>14</v>
      </c>
      <c r="B1021" t="str">
        <f>"110607200003"</f>
        <v>110607200003</v>
      </c>
      <c r="C1021" t="s">
        <v>921</v>
      </c>
      <c r="D1021" t="s">
        <v>113</v>
      </c>
      <c r="G1021" t="s">
        <v>17</v>
      </c>
      <c r="H1021" t="s">
        <v>18</v>
      </c>
      <c r="I1021" t="s">
        <v>90</v>
      </c>
      <c r="J1021" t="s">
        <v>91</v>
      </c>
      <c r="K1021" t="s">
        <v>92</v>
      </c>
      <c r="L1021" t="s">
        <v>22</v>
      </c>
      <c r="M1021" s="1">
        <v>36713</v>
      </c>
      <c r="N1021">
        <v>2000</v>
      </c>
    </row>
    <row r="1022" spans="1:14">
      <c r="A1022" t="s">
        <v>14</v>
      </c>
      <c r="B1022" t="str">
        <f>"110701200100"</f>
        <v>110701200100</v>
      </c>
      <c r="C1022" t="s">
        <v>1017</v>
      </c>
      <c r="D1022" t="s">
        <v>617</v>
      </c>
      <c r="G1022" t="s">
        <v>17</v>
      </c>
      <c r="H1022" t="s">
        <v>18</v>
      </c>
      <c r="I1022" t="s">
        <v>90</v>
      </c>
      <c r="J1022" t="s">
        <v>91</v>
      </c>
      <c r="K1022" t="s">
        <v>96</v>
      </c>
      <c r="L1022" t="s">
        <v>202</v>
      </c>
      <c r="M1022" s="1">
        <v>36898</v>
      </c>
      <c r="N1022">
        <v>2001</v>
      </c>
    </row>
    <row r="1023" spans="1:14">
      <c r="A1023" t="s">
        <v>14</v>
      </c>
      <c r="B1023" t="str">
        <f>"112610200100"</f>
        <v>112610200100</v>
      </c>
      <c r="C1023" t="s">
        <v>1124</v>
      </c>
      <c r="D1023" t="s">
        <v>531</v>
      </c>
      <c r="G1023" t="s">
        <v>17</v>
      </c>
      <c r="H1023" t="s">
        <v>18</v>
      </c>
      <c r="I1023" t="s">
        <v>90</v>
      </c>
      <c r="J1023" t="s">
        <v>91</v>
      </c>
      <c r="K1023" t="s">
        <v>92</v>
      </c>
      <c r="L1023" t="s">
        <v>22</v>
      </c>
      <c r="M1023" s="1">
        <v>37190</v>
      </c>
      <c r="N1023">
        <v>2001</v>
      </c>
    </row>
    <row r="1024" spans="1:14">
      <c r="A1024" t="s">
        <v>14</v>
      </c>
      <c r="B1024" t="str">
        <f>"113007199901"</f>
        <v>113007199901</v>
      </c>
      <c r="C1024" t="s">
        <v>1202</v>
      </c>
      <c r="D1024" t="s">
        <v>181</v>
      </c>
      <c r="G1024" t="s">
        <v>17</v>
      </c>
      <c r="H1024" t="s">
        <v>18</v>
      </c>
      <c r="I1024" t="s">
        <v>90</v>
      </c>
      <c r="J1024" t="s">
        <v>91</v>
      </c>
      <c r="K1024" t="s">
        <v>96</v>
      </c>
      <c r="L1024" t="s">
        <v>63</v>
      </c>
      <c r="M1024" s="1">
        <v>36371</v>
      </c>
      <c r="N1024">
        <v>1999</v>
      </c>
    </row>
    <row r="1025" spans="1:14">
      <c r="A1025" t="s">
        <v>14</v>
      </c>
      <c r="B1025" t="str">
        <f>"110301199900"</f>
        <v>110301199900</v>
      </c>
      <c r="C1025" t="s">
        <v>1300</v>
      </c>
      <c r="D1025" t="s">
        <v>534</v>
      </c>
      <c r="G1025" t="s">
        <v>17</v>
      </c>
      <c r="H1025" t="s">
        <v>18</v>
      </c>
      <c r="I1025" t="s">
        <v>90</v>
      </c>
      <c r="J1025" t="s">
        <v>91</v>
      </c>
      <c r="K1025" t="s">
        <v>490</v>
      </c>
      <c r="L1025" t="s">
        <v>63</v>
      </c>
      <c r="M1025" s="1">
        <v>36163</v>
      </c>
      <c r="N1025">
        <v>1999</v>
      </c>
    </row>
    <row r="1026" spans="1:14">
      <c r="A1026" t="s">
        <v>14</v>
      </c>
      <c r="B1026" t="str">
        <f>"112105200100"</f>
        <v>112105200100</v>
      </c>
      <c r="C1026" t="s">
        <v>1316</v>
      </c>
      <c r="D1026" t="s">
        <v>70</v>
      </c>
      <c r="G1026" t="s">
        <v>17</v>
      </c>
      <c r="H1026" t="s">
        <v>18</v>
      </c>
      <c r="I1026" t="s">
        <v>90</v>
      </c>
      <c r="J1026" t="s">
        <v>91</v>
      </c>
      <c r="K1026" t="s">
        <v>92</v>
      </c>
      <c r="L1026" t="s">
        <v>202</v>
      </c>
      <c r="M1026" s="1">
        <v>37032</v>
      </c>
      <c r="N1026">
        <v>2001</v>
      </c>
    </row>
    <row r="1027" spans="1:14">
      <c r="A1027" t="s">
        <v>14</v>
      </c>
      <c r="B1027" t="str">
        <f>"112409200101"</f>
        <v>112409200101</v>
      </c>
      <c r="C1027" t="s">
        <v>1388</v>
      </c>
      <c r="D1027" t="s">
        <v>292</v>
      </c>
      <c r="G1027" t="s">
        <v>17</v>
      </c>
      <c r="H1027" t="s">
        <v>18</v>
      </c>
      <c r="I1027" t="s">
        <v>90</v>
      </c>
      <c r="J1027" t="s">
        <v>91</v>
      </c>
      <c r="K1027" t="s">
        <v>92</v>
      </c>
      <c r="L1027" t="s">
        <v>22</v>
      </c>
      <c r="M1027" s="1">
        <v>37158</v>
      </c>
      <c r="N1027">
        <v>2001</v>
      </c>
    </row>
    <row r="1028" spans="1:14">
      <c r="A1028" t="s">
        <v>14</v>
      </c>
      <c r="B1028" t="str">
        <f>"112704200100"</f>
        <v>112704200100</v>
      </c>
      <c r="C1028" t="s">
        <v>1405</v>
      </c>
      <c r="D1028" t="s">
        <v>89</v>
      </c>
      <c r="G1028" t="s">
        <v>17</v>
      </c>
      <c r="H1028" t="s">
        <v>18</v>
      </c>
      <c r="I1028" t="s">
        <v>90</v>
      </c>
      <c r="J1028" t="s">
        <v>91</v>
      </c>
      <c r="K1028" t="s">
        <v>92</v>
      </c>
      <c r="L1028" t="s">
        <v>63</v>
      </c>
      <c r="M1028" s="1">
        <v>37008</v>
      </c>
      <c r="N1028">
        <v>2001</v>
      </c>
    </row>
    <row r="1029" spans="1:14">
      <c r="A1029" t="s">
        <v>14</v>
      </c>
      <c r="B1029" t="str">
        <f>"111501199900"</f>
        <v>111501199900</v>
      </c>
      <c r="C1029" t="s">
        <v>1448</v>
      </c>
      <c r="D1029" t="s">
        <v>579</v>
      </c>
      <c r="G1029" t="s">
        <v>17</v>
      </c>
      <c r="H1029" t="s">
        <v>18</v>
      </c>
      <c r="I1029" t="s">
        <v>90</v>
      </c>
      <c r="J1029" t="s">
        <v>91</v>
      </c>
      <c r="K1029" t="s">
        <v>96</v>
      </c>
      <c r="L1029" t="s">
        <v>63</v>
      </c>
      <c r="M1029" s="1">
        <v>36175</v>
      </c>
      <c r="N1029">
        <v>1999</v>
      </c>
    </row>
    <row r="1030" spans="1:14">
      <c r="A1030" t="s">
        <v>14</v>
      </c>
      <c r="B1030" t="str">
        <f>"112009200001"</f>
        <v>112009200001</v>
      </c>
      <c r="C1030" t="s">
        <v>1502</v>
      </c>
      <c r="D1030" t="s">
        <v>268</v>
      </c>
      <c r="G1030" t="s">
        <v>17</v>
      </c>
      <c r="H1030" t="s">
        <v>18</v>
      </c>
      <c r="I1030" t="s">
        <v>90</v>
      </c>
      <c r="J1030" t="s">
        <v>91</v>
      </c>
      <c r="K1030" t="s">
        <v>92</v>
      </c>
      <c r="L1030" t="s">
        <v>22</v>
      </c>
      <c r="M1030" s="1">
        <v>36789</v>
      </c>
      <c r="N1030">
        <v>2000</v>
      </c>
    </row>
    <row r="1031" spans="1:14">
      <c r="A1031" t="s">
        <v>14</v>
      </c>
      <c r="B1031" t="str">
        <f>"112104199902"</f>
        <v>112104199902</v>
      </c>
      <c r="C1031" t="s">
        <v>1570</v>
      </c>
      <c r="D1031" t="s">
        <v>100</v>
      </c>
      <c r="G1031" t="s">
        <v>17</v>
      </c>
      <c r="H1031" t="s">
        <v>18</v>
      </c>
      <c r="I1031" t="s">
        <v>90</v>
      </c>
      <c r="J1031" t="s">
        <v>91</v>
      </c>
      <c r="K1031" t="s">
        <v>92</v>
      </c>
      <c r="L1031" t="s">
        <v>63</v>
      </c>
      <c r="M1031" s="1">
        <v>36271</v>
      </c>
      <c r="N1031">
        <v>1999</v>
      </c>
    </row>
    <row r="1032" spans="1:14">
      <c r="A1032" t="s">
        <v>14</v>
      </c>
      <c r="B1032" t="str">
        <f>"111006199900"</f>
        <v>111006199900</v>
      </c>
      <c r="C1032" t="s">
        <v>1986</v>
      </c>
      <c r="D1032" t="s">
        <v>283</v>
      </c>
      <c r="G1032" t="s">
        <v>17</v>
      </c>
      <c r="H1032" t="s">
        <v>18</v>
      </c>
      <c r="I1032" t="s">
        <v>90</v>
      </c>
      <c r="J1032" t="s">
        <v>91</v>
      </c>
      <c r="K1032" t="s">
        <v>96</v>
      </c>
      <c r="L1032" t="s">
        <v>63</v>
      </c>
      <c r="M1032" s="1">
        <v>36321</v>
      </c>
      <c r="N1032">
        <v>1999</v>
      </c>
    </row>
    <row r="1033" spans="1:14">
      <c r="A1033" t="s">
        <v>14</v>
      </c>
      <c r="B1033" t="str">
        <f>"112812200101"</f>
        <v>112812200101</v>
      </c>
      <c r="C1033" t="s">
        <v>2058</v>
      </c>
      <c r="D1033" t="s">
        <v>50</v>
      </c>
      <c r="G1033" t="s">
        <v>17</v>
      </c>
      <c r="H1033" t="s">
        <v>18</v>
      </c>
      <c r="I1033" t="s">
        <v>90</v>
      </c>
      <c r="J1033" t="s">
        <v>91</v>
      </c>
      <c r="K1033" t="s">
        <v>92</v>
      </c>
      <c r="L1033" t="s">
        <v>22</v>
      </c>
      <c r="M1033" s="1">
        <v>37253</v>
      </c>
      <c r="N1033">
        <v>2001</v>
      </c>
    </row>
    <row r="1034" spans="1:14">
      <c r="A1034" t="s">
        <v>14</v>
      </c>
      <c r="B1034" t="str">
        <f>"112108200100"</f>
        <v>112108200100</v>
      </c>
      <c r="C1034" t="s">
        <v>2080</v>
      </c>
      <c r="D1034" t="s">
        <v>531</v>
      </c>
      <c r="G1034" t="s">
        <v>17</v>
      </c>
      <c r="H1034" t="s">
        <v>18</v>
      </c>
      <c r="I1034" t="s">
        <v>90</v>
      </c>
      <c r="J1034" t="s">
        <v>91</v>
      </c>
      <c r="K1034" t="s">
        <v>92</v>
      </c>
      <c r="L1034" t="s">
        <v>22</v>
      </c>
      <c r="M1034" s="1">
        <v>37124</v>
      </c>
      <c r="N1034">
        <v>2001</v>
      </c>
    </row>
    <row r="1035" spans="1:14">
      <c r="A1035" t="s">
        <v>14</v>
      </c>
      <c r="B1035" t="str">
        <f>"113107200100"</f>
        <v>113107200100</v>
      </c>
      <c r="C1035" t="s">
        <v>2369</v>
      </c>
      <c r="D1035" t="s">
        <v>344</v>
      </c>
      <c r="G1035" t="s">
        <v>17</v>
      </c>
      <c r="H1035" t="s">
        <v>18</v>
      </c>
      <c r="I1035" t="s">
        <v>90</v>
      </c>
      <c r="J1035" t="s">
        <v>91</v>
      </c>
      <c r="K1035" t="s">
        <v>96</v>
      </c>
      <c r="L1035" t="s">
        <v>22</v>
      </c>
      <c r="M1035" s="1">
        <v>37103</v>
      </c>
      <c r="N1035">
        <v>2001</v>
      </c>
    </row>
    <row r="1036" spans="1:14">
      <c r="A1036" t="s">
        <v>14</v>
      </c>
      <c r="B1036" t="str">
        <f>"111503200003"</f>
        <v>111503200003</v>
      </c>
      <c r="C1036" t="s">
        <v>2372</v>
      </c>
      <c r="D1036" t="s">
        <v>209</v>
      </c>
      <c r="G1036" t="s">
        <v>17</v>
      </c>
      <c r="H1036" t="s">
        <v>18</v>
      </c>
      <c r="I1036" t="s">
        <v>90</v>
      </c>
      <c r="J1036" t="s">
        <v>91</v>
      </c>
      <c r="K1036" t="s">
        <v>92</v>
      </c>
      <c r="L1036" t="s">
        <v>63</v>
      </c>
      <c r="M1036" s="1">
        <v>36600</v>
      </c>
      <c r="N1036">
        <v>2000</v>
      </c>
    </row>
    <row r="1037" spans="1:14">
      <c r="A1037" t="s">
        <v>14</v>
      </c>
      <c r="B1037" t="str">
        <f>"112704199902"</f>
        <v>112704199902</v>
      </c>
      <c r="C1037" t="s">
        <v>2407</v>
      </c>
      <c r="D1037" t="s">
        <v>129</v>
      </c>
      <c r="G1037" t="s">
        <v>17</v>
      </c>
      <c r="H1037" t="s">
        <v>18</v>
      </c>
      <c r="I1037" t="s">
        <v>90</v>
      </c>
      <c r="J1037" t="s">
        <v>91</v>
      </c>
      <c r="K1037" t="s">
        <v>92</v>
      </c>
      <c r="L1037" t="s">
        <v>63</v>
      </c>
      <c r="M1037" s="1">
        <v>36277</v>
      </c>
      <c r="N1037">
        <v>1999</v>
      </c>
    </row>
    <row r="1038" spans="1:14">
      <c r="A1038" t="s">
        <v>14</v>
      </c>
      <c r="B1038" t="str">
        <f>"111207200100"</f>
        <v>111207200100</v>
      </c>
      <c r="C1038" t="s">
        <v>2424</v>
      </c>
      <c r="D1038" t="s">
        <v>100</v>
      </c>
      <c r="G1038" t="s">
        <v>17</v>
      </c>
      <c r="H1038" t="s">
        <v>18</v>
      </c>
      <c r="I1038" t="s">
        <v>90</v>
      </c>
      <c r="J1038" t="s">
        <v>91</v>
      </c>
      <c r="K1038" t="s">
        <v>92</v>
      </c>
      <c r="L1038" t="s">
        <v>22</v>
      </c>
      <c r="M1038" s="1">
        <v>37084</v>
      </c>
      <c r="N1038">
        <v>2001</v>
      </c>
    </row>
    <row r="1039" spans="1:14">
      <c r="A1039" t="s">
        <v>14</v>
      </c>
      <c r="B1039" t="str">
        <f>"110612200101"</f>
        <v>110612200101</v>
      </c>
      <c r="C1039" t="s">
        <v>2578</v>
      </c>
      <c r="D1039" t="s">
        <v>221</v>
      </c>
      <c r="G1039" t="s">
        <v>17</v>
      </c>
      <c r="H1039" t="s">
        <v>18</v>
      </c>
      <c r="I1039" t="s">
        <v>90</v>
      </c>
      <c r="J1039" t="s">
        <v>91</v>
      </c>
      <c r="K1039" t="s">
        <v>92</v>
      </c>
      <c r="L1039" t="s">
        <v>22</v>
      </c>
      <c r="M1039" s="1">
        <v>37231</v>
      </c>
      <c r="N1039">
        <v>2001</v>
      </c>
    </row>
    <row r="1040" spans="1:14">
      <c r="A1040" t="s">
        <v>14</v>
      </c>
      <c r="B1040" t="str">
        <f>"110106200402"</f>
        <v>110106200402</v>
      </c>
      <c r="C1040" t="s">
        <v>94</v>
      </c>
      <c r="D1040" t="s">
        <v>95</v>
      </c>
      <c r="G1040" t="s">
        <v>17</v>
      </c>
      <c r="H1040" t="s">
        <v>39</v>
      </c>
      <c r="I1040" t="s">
        <v>90</v>
      </c>
      <c r="J1040" t="s">
        <v>91</v>
      </c>
      <c r="K1040" t="s">
        <v>96</v>
      </c>
      <c r="M1040" s="1">
        <v>38139</v>
      </c>
      <c r="N1040">
        <v>2004</v>
      </c>
    </row>
    <row r="1041" spans="1:14">
      <c r="A1041" t="s">
        <v>14</v>
      </c>
      <c r="B1041" t="str">
        <f>"111012200400"</f>
        <v>111012200400</v>
      </c>
      <c r="C1041" t="s">
        <v>173</v>
      </c>
      <c r="D1041" t="s">
        <v>50</v>
      </c>
      <c r="G1041" t="s">
        <v>17</v>
      </c>
      <c r="H1041" t="s">
        <v>39</v>
      </c>
      <c r="I1041" t="s">
        <v>90</v>
      </c>
      <c r="J1041" t="s">
        <v>91</v>
      </c>
      <c r="K1041" t="s">
        <v>96</v>
      </c>
      <c r="L1041" t="s">
        <v>22</v>
      </c>
      <c r="M1041" s="1">
        <v>38331</v>
      </c>
      <c r="N1041">
        <v>2004</v>
      </c>
    </row>
    <row r="1042" spans="1:14">
      <c r="A1042" t="s">
        <v>14</v>
      </c>
      <c r="B1042" t="str">
        <f>"112511200401"</f>
        <v>112511200401</v>
      </c>
      <c r="C1042" t="s">
        <v>818</v>
      </c>
      <c r="D1042" t="s">
        <v>209</v>
      </c>
      <c r="G1042" t="s">
        <v>17</v>
      </c>
      <c r="H1042" t="s">
        <v>39</v>
      </c>
      <c r="I1042" t="s">
        <v>90</v>
      </c>
      <c r="J1042" t="s">
        <v>91</v>
      </c>
      <c r="K1042" t="s">
        <v>96</v>
      </c>
      <c r="M1042" s="1">
        <v>38316</v>
      </c>
      <c r="N1042">
        <v>2004</v>
      </c>
    </row>
    <row r="1043" spans="1:14">
      <c r="A1043" t="s">
        <v>14</v>
      </c>
      <c r="B1043" t="str">
        <f>"112207200500"</f>
        <v>112207200500</v>
      </c>
      <c r="C1043" t="s">
        <v>826</v>
      </c>
      <c r="D1043" t="s">
        <v>120</v>
      </c>
      <c r="G1043" t="s">
        <v>17</v>
      </c>
      <c r="H1043" t="s">
        <v>39</v>
      </c>
      <c r="I1043" t="s">
        <v>90</v>
      </c>
      <c r="J1043" t="s">
        <v>91</v>
      </c>
      <c r="K1043" t="s">
        <v>462</v>
      </c>
      <c r="M1043" s="1">
        <v>38555</v>
      </c>
      <c r="N1043">
        <v>2005</v>
      </c>
    </row>
    <row r="1044" spans="1:14">
      <c r="A1044" t="s">
        <v>14</v>
      </c>
      <c r="B1044" t="str">
        <f>"112101200500"</f>
        <v>112101200500</v>
      </c>
      <c r="C1044" t="s">
        <v>855</v>
      </c>
      <c r="D1044" t="s">
        <v>209</v>
      </c>
      <c r="G1044" t="s">
        <v>17</v>
      </c>
      <c r="H1044" t="s">
        <v>39</v>
      </c>
      <c r="I1044" t="s">
        <v>90</v>
      </c>
      <c r="J1044" t="s">
        <v>91</v>
      </c>
      <c r="K1044" t="s">
        <v>96</v>
      </c>
      <c r="L1044" t="s">
        <v>22</v>
      </c>
      <c r="M1044" s="1">
        <v>38373</v>
      </c>
      <c r="N1044">
        <v>2005</v>
      </c>
    </row>
    <row r="1045" spans="1:14">
      <c r="A1045" t="s">
        <v>14</v>
      </c>
      <c r="B1045" t="str">
        <f>"110909200400"</f>
        <v>110909200400</v>
      </c>
      <c r="C1045" t="s">
        <v>860</v>
      </c>
      <c r="D1045" t="s">
        <v>16</v>
      </c>
      <c r="G1045" t="s">
        <v>17</v>
      </c>
      <c r="H1045" t="s">
        <v>39</v>
      </c>
      <c r="I1045" t="s">
        <v>90</v>
      </c>
      <c r="J1045" t="s">
        <v>91</v>
      </c>
      <c r="K1045" t="s">
        <v>96</v>
      </c>
      <c r="M1045" s="1">
        <v>38239</v>
      </c>
      <c r="N1045">
        <v>2004</v>
      </c>
    </row>
    <row r="1046" spans="1:14">
      <c r="A1046" t="s">
        <v>14</v>
      </c>
      <c r="B1046" t="str">
        <f>"110211200400"</f>
        <v>110211200400</v>
      </c>
      <c r="C1046" t="s">
        <v>932</v>
      </c>
      <c r="D1046" t="s">
        <v>70</v>
      </c>
      <c r="G1046" t="s">
        <v>17</v>
      </c>
      <c r="H1046" t="s">
        <v>39</v>
      </c>
      <c r="I1046" t="s">
        <v>90</v>
      </c>
      <c r="J1046" t="s">
        <v>91</v>
      </c>
      <c r="K1046" t="s">
        <v>96</v>
      </c>
      <c r="M1046" s="1">
        <v>38293</v>
      </c>
      <c r="N1046">
        <v>2004</v>
      </c>
    </row>
    <row r="1047" spans="1:14">
      <c r="A1047" t="s">
        <v>14</v>
      </c>
      <c r="B1047" t="str">
        <f>"112904200500"</f>
        <v>112904200500</v>
      </c>
      <c r="C1047" t="s">
        <v>991</v>
      </c>
      <c r="D1047" t="s">
        <v>120</v>
      </c>
      <c r="G1047" t="s">
        <v>17</v>
      </c>
      <c r="H1047" t="s">
        <v>39</v>
      </c>
      <c r="I1047" t="s">
        <v>90</v>
      </c>
      <c r="J1047" t="s">
        <v>91</v>
      </c>
      <c r="K1047" t="s">
        <v>462</v>
      </c>
      <c r="M1047" s="1">
        <v>38471</v>
      </c>
      <c r="N1047">
        <v>2005</v>
      </c>
    </row>
    <row r="1048" spans="1:14">
      <c r="A1048" t="s">
        <v>14</v>
      </c>
      <c r="B1048" t="str">
        <f>"111911200400"</f>
        <v>111911200400</v>
      </c>
      <c r="C1048" t="s">
        <v>1062</v>
      </c>
      <c r="D1048" t="s">
        <v>89</v>
      </c>
      <c r="G1048" t="s">
        <v>17</v>
      </c>
      <c r="H1048" t="s">
        <v>39</v>
      </c>
      <c r="I1048" t="s">
        <v>90</v>
      </c>
      <c r="J1048" t="s">
        <v>91</v>
      </c>
      <c r="K1048" t="s">
        <v>462</v>
      </c>
      <c r="L1048" t="s">
        <v>22</v>
      </c>
      <c r="M1048" s="1">
        <v>38310</v>
      </c>
      <c r="N1048">
        <v>2004</v>
      </c>
    </row>
    <row r="1049" spans="1:14">
      <c r="A1049" t="s">
        <v>14</v>
      </c>
      <c r="B1049" t="str">
        <f>"112105200500"</f>
        <v>112105200500</v>
      </c>
      <c r="C1049" t="s">
        <v>1114</v>
      </c>
      <c r="D1049" t="s">
        <v>136</v>
      </c>
      <c r="G1049" t="s">
        <v>17</v>
      </c>
      <c r="H1049" t="s">
        <v>39</v>
      </c>
      <c r="I1049" t="s">
        <v>90</v>
      </c>
      <c r="J1049" t="s">
        <v>91</v>
      </c>
      <c r="K1049" t="s">
        <v>96</v>
      </c>
      <c r="M1049" s="1">
        <v>38493</v>
      </c>
      <c r="N1049">
        <v>2005</v>
      </c>
    </row>
    <row r="1050" spans="1:14">
      <c r="A1050" t="s">
        <v>14</v>
      </c>
      <c r="B1050" t="str">
        <f>"110903200500"</f>
        <v>110903200500</v>
      </c>
      <c r="C1050" t="s">
        <v>1192</v>
      </c>
      <c r="D1050" t="s">
        <v>98</v>
      </c>
      <c r="G1050" t="s">
        <v>17</v>
      </c>
      <c r="H1050" t="s">
        <v>39</v>
      </c>
      <c r="I1050" t="s">
        <v>90</v>
      </c>
      <c r="J1050" t="s">
        <v>91</v>
      </c>
      <c r="K1050" t="s">
        <v>462</v>
      </c>
      <c r="M1050" s="1">
        <v>38420</v>
      </c>
      <c r="N1050">
        <v>2005</v>
      </c>
    </row>
    <row r="1051" spans="1:14">
      <c r="A1051" t="s">
        <v>14</v>
      </c>
      <c r="B1051" t="str">
        <f>"112005200400"</f>
        <v>112005200400</v>
      </c>
      <c r="C1051" t="s">
        <v>1202</v>
      </c>
      <c r="D1051" t="s">
        <v>100</v>
      </c>
      <c r="G1051" t="s">
        <v>17</v>
      </c>
      <c r="H1051" t="s">
        <v>39</v>
      </c>
      <c r="I1051" t="s">
        <v>90</v>
      </c>
      <c r="J1051" t="s">
        <v>91</v>
      </c>
      <c r="K1051" t="s">
        <v>96</v>
      </c>
      <c r="L1051" t="s">
        <v>22</v>
      </c>
      <c r="M1051" s="1">
        <v>38127</v>
      </c>
      <c r="N1051">
        <v>2004</v>
      </c>
    </row>
    <row r="1052" spans="1:14">
      <c r="A1052" t="s">
        <v>14</v>
      </c>
      <c r="B1052" t="str">
        <f>"110206200401"</f>
        <v>110206200401</v>
      </c>
      <c r="C1052" t="s">
        <v>1494</v>
      </c>
      <c r="D1052" t="s">
        <v>181</v>
      </c>
      <c r="G1052" t="s">
        <v>17</v>
      </c>
      <c r="H1052" t="s">
        <v>39</v>
      </c>
      <c r="I1052" t="s">
        <v>90</v>
      </c>
      <c r="J1052" t="s">
        <v>91</v>
      </c>
      <c r="K1052" t="s">
        <v>96</v>
      </c>
      <c r="L1052" t="s">
        <v>22</v>
      </c>
      <c r="M1052" s="1">
        <v>38140</v>
      </c>
      <c r="N1052">
        <v>2004</v>
      </c>
    </row>
    <row r="1053" spans="1:14">
      <c r="A1053" t="s">
        <v>14</v>
      </c>
      <c r="B1053" t="str">
        <f>"113107200500"</f>
        <v>113107200500</v>
      </c>
      <c r="C1053" t="s">
        <v>1537</v>
      </c>
      <c r="D1053" t="s">
        <v>136</v>
      </c>
      <c r="G1053" t="s">
        <v>17</v>
      </c>
      <c r="H1053" t="s">
        <v>39</v>
      </c>
      <c r="I1053" t="s">
        <v>90</v>
      </c>
      <c r="J1053" t="s">
        <v>91</v>
      </c>
      <c r="K1053" t="s">
        <v>96</v>
      </c>
      <c r="M1053" s="1">
        <v>38564</v>
      </c>
      <c r="N1053">
        <v>2005</v>
      </c>
    </row>
    <row r="1054" spans="1:14">
      <c r="A1054" t="s">
        <v>14</v>
      </c>
      <c r="B1054" t="str">
        <f>"110501200400"</f>
        <v>110501200400</v>
      </c>
      <c r="C1054" t="s">
        <v>1558</v>
      </c>
      <c r="D1054" t="s">
        <v>209</v>
      </c>
      <c r="G1054" t="s">
        <v>17</v>
      </c>
      <c r="H1054" t="s">
        <v>39</v>
      </c>
      <c r="I1054" t="s">
        <v>90</v>
      </c>
      <c r="J1054" t="s">
        <v>91</v>
      </c>
      <c r="K1054" t="s">
        <v>96</v>
      </c>
      <c r="M1054" s="1">
        <v>37991</v>
      </c>
      <c r="N1054">
        <v>2004</v>
      </c>
    </row>
    <row r="1055" spans="1:14">
      <c r="A1055" t="s">
        <v>14</v>
      </c>
      <c r="B1055" t="str">
        <f>"112107200500"</f>
        <v>112107200500</v>
      </c>
      <c r="C1055" t="s">
        <v>1567</v>
      </c>
      <c r="D1055" t="s">
        <v>129</v>
      </c>
      <c r="G1055" t="s">
        <v>17</v>
      </c>
      <c r="H1055" t="s">
        <v>39</v>
      </c>
      <c r="I1055" t="s">
        <v>90</v>
      </c>
      <c r="J1055" t="s">
        <v>91</v>
      </c>
      <c r="K1055" t="s">
        <v>96</v>
      </c>
      <c r="L1055" t="s">
        <v>22</v>
      </c>
      <c r="M1055" s="1">
        <v>38554</v>
      </c>
      <c r="N1055">
        <v>2005</v>
      </c>
    </row>
    <row r="1056" spans="1:14">
      <c r="A1056" t="s">
        <v>14</v>
      </c>
      <c r="B1056" t="str">
        <f>"111604200400"</f>
        <v>111604200400</v>
      </c>
      <c r="C1056" t="s">
        <v>1572</v>
      </c>
      <c r="D1056" t="s">
        <v>129</v>
      </c>
      <c r="G1056" t="s">
        <v>17</v>
      </c>
      <c r="H1056" t="s">
        <v>39</v>
      </c>
      <c r="I1056" t="s">
        <v>90</v>
      </c>
      <c r="J1056" t="s">
        <v>91</v>
      </c>
      <c r="K1056" t="s">
        <v>462</v>
      </c>
      <c r="M1056" s="1">
        <v>38093</v>
      </c>
      <c r="N1056">
        <v>2004</v>
      </c>
    </row>
    <row r="1057" spans="1:14">
      <c r="A1057" t="s">
        <v>14</v>
      </c>
      <c r="B1057" t="str">
        <f>"112711200400"</f>
        <v>112711200400</v>
      </c>
      <c r="C1057" t="s">
        <v>1621</v>
      </c>
      <c r="D1057" t="s">
        <v>1622</v>
      </c>
      <c r="G1057" t="s">
        <v>17</v>
      </c>
      <c r="H1057" t="s">
        <v>39</v>
      </c>
      <c r="I1057" t="s">
        <v>90</v>
      </c>
      <c r="J1057" t="s">
        <v>91</v>
      </c>
      <c r="K1057" t="s">
        <v>96</v>
      </c>
      <c r="L1057" t="s">
        <v>22</v>
      </c>
      <c r="M1057" s="1">
        <v>38318</v>
      </c>
      <c r="N1057">
        <v>2004</v>
      </c>
    </row>
    <row r="1058" spans="1:14">
      <c r="A1058" t="s">
        <v>14</v>
      </c>
      <c r="B1058" t="str">
        <f>"112310200500"</f>
        <v>112310200500</v>
      </c>
      <c r="C1058" t="s">
        <v>1822</v>
      </c>
      <c r="D1058" t="s">
        <v>886</v>
      </c>
      <c r="G1058" t="s">
        <v>17</v>
      </c>
      <c r="H1058" t="s">
        <v>39</v>
      </c>
      <c r="I1058" t="s">
        <v>90</v>
      </c>
      <c r="J1058" t="s">
        <v>91</v>
      </c>
      <c r="K1058" t="s">
        <v>96</v>
      </c>
      <c r="L1058" t="s">
        <v>22</v>
      </c>
      <c r="M1058" s="1">
        <v>38648</v>
      </c>
      <c r="N1058">
        <v>2005</v>
      </c>
    </row>
    <row r="1059" spans="1:14">
      <c r="A1059" t="s">
        <v>14</v>
      </c>
      <c r="B1059" t="str">
        <f>"111406200500"</f>
        <v>111406200500</v>
      </c>
      <c r="C1059" t="s">
        <v>1826</v>
      </c>
      <c r="D1059" t="s">
        <v>558</v>
      </c>
      <c r="G1059" t="s">
        <v>17</v>
      </c>
      <c r="H1059" t="s">
        <v>39</v>
      </c>
      <c r="I1059" t="s">
        <v>90</v>
      </c>
      <c r="J1059" t="s">
        <v>91</v>
      </c>
      <c r="K1059" t="s">
        <v>96</v>
      </c>
      <c r="L1059" t="s">
        <v>22</v>
      </c>
      <c r="M1059" s="1">
        <v>38517</v>
      </c>
      <c r="N1059">
        <v>2005</v>
      </c>
    </row>
    <row r="1060" spans="1:14">
      <c r="A1060" t="s">
        <v>14</v>
      </c>
      <c r="B1060" t="str">
        <f>"111902200400"</f>
        <v>111902200400</v>
      </c>
      <c r="C1060" t="s">
        <v>2018</v>
      </c>
      <c r="D1060" t="s">
        <v>115</v>
      </c>
      <c r="G1060" t="s">
        <v>17</v>
      </c>
      <c r="H1060" t="s">
        <v>39</v>
      </c>
      <c r="I1060" t="s">
        <v>90</v>
      </c>
      <c r="J1060" t="s">
        <v>91</v>
      </c>
      <c r="K1060" t="s">
        <v>2019</v>
      </c>
      <c r="M1060" s="1">
        <v>38036</v>
      </c>
      <c r="N1060">
        <v>2004</v>
      </c>
    </row>
    <row r="1061" spans="1:14">
      <c r="A1061" t="s">
        <v>14</v>
      </c>
      <c r="B1061" t="str">
        <f>"112112200500"</f>
        <v>112112200500</v>
      </c>
      <c r="C1061" t="s">
        <v>2093</v>
      </c>
      <c r="D1061" t="s">
        <v>127</v>
      </c>
      <c r="G1061" t="s">
        <v>17</v>
      </c>
      <c r="H1061" t="s">
        <v>39</v>
      </c>
      <c r="I1061" t="s">
        <v>90</v>
      </c>
      <c r="J1061" t="s">
        <v>91</v>
      </c>
      <c r="K1061" t="s">
        <v>96</v>
      </c>
      <c r="M1061" s="1">
        <v>38707</v>
      </c>
      <c r="N1061">
        <v>2005</v>
      </c>
    </row>
    <row r="1062" spans="1:14">
      <c r="A1062" t="s">
        <v>14</v>
      </c>
      <c r="B1062" t="str">
        <f>"112405200400"</f>
        <v>112405200400</v>
      </c>
      <c r="C1062" t="s">
        <v>2142</v>
      </c>
      <c r="D1062" t="s">
        <v>24</v>
      </c>
      <c r="G1062" t="s">
        <v>17</v>
      </c>
      <c r="H1062" t="s">
        <v>39</v>
      </c>
      <c r="I1062" t="s">
        <v>90</v>
      </c>
      <c r="J1062" t="s">
        <v>91</v>
      </c>
      <c r="K1062" t="s">
        <v>462</v>
      </c>
      <c r="M1062" s="1">
        <v>38131</v>
      </c>
      <c r="N1062">
        <v>2004</v>
      </c>
    </row>
    <row r="1063" spans="1:14">
      <c r="A1063" t="s">
        <v>14</v>
      </c>
      <c r="B1063" t="str">
        <f>"111903200501"</f>
        <v>111903200501</v>
      </c>
      <c r="C1063" t="s">
        <v>2193</v>
      </c>
      <c r="D1063" t="s">
        <v>920</v>
      </c>
      <c r="G1063" t="s">
        <v>17</v>
      </c>
      <c r="H1063" t="s">
        <v>39</v>
      </c>
      <c r="I1063" t="s">
        <v>90</v>
      </c>
      <c r="J1063" t="s">
        <v>91</v>
      </c>
      <c r="K1063" t="s">
        <v>96</v>
      </c>
      <c r="L1063" t="s">
        <v>22</v>
      </c>
      <c r="M1063" s="1">
        <v>38430</v>
      </c>
      <c r="N1063">
        <v>2005</v>
      </c>
    </row>
    <row r="1064" spans="1:14">
      <c r="A1064" t="s">
        <v>14</v>
      </c>
      <c r="B1064" t="str">
        <f>"112502200401"</f>
        <v>112502200401</v>
      </c>
      <c r="C1064" t="s">
        <v>2198</v>
      </c>
      <c r="D1064" t="s">
        <v>531</v>
      </c>
      <c r="G1064" t="s">
        <v>17</v>
      </c>
      <c r="H1064" t="s">
        <v>39</v>
      </c>
      <c r="I1064" t="s">
        <v>90</v>
      </c>
      <c r="J1064" t="s">
        <v>91</v>
      </c>
      <c r="K1064" t="s">
        <v>462</v>
      </c>
      <c r="M1064" s="1">
        <v>38042</v>
      </c>
      <c r="N1064">
        <v>2004</v>
      </c>
    </row>
    <row r="1065" spans="1:14">
      <c r="A1065" t="s">
        <v>14</v>
      </c>
      <c r="B1065" t="str">
        <f>"111510200500"</f>
        <v>111510200500</v>
      </c>
      <c r="C1065" t="s">
        <v>2253</v>
      </c>
      <c r="D1065" t="s">
        <v>89</v>
      </c>
      <c r="G1065" t="s">
        <v>17</v>
      </c>
      <c r="H1065" t="s">
        <v>39</v>
      </c>
      <c r="I1065" t="s">
        <v>90</v>
      </c>
      <c r="J1065" t="s">
        <v>91</v>
      </c>
      <c r="K1065" t="s">
        <v>462</v>
      </c>
      <c r="M1065" s="1">
        <v>38640</v>
      </c>
      <c r="N1065">
        <v>2005</v>
      </c>
    </row>
    <row r="1066" spans="1:14">
      <c r="A1066" t="s">
        <v>14</v>
      </c>
      <c r="B1066" t="str">
        <f>"110808200401"</f>
        <v>110808200401</v>
      </c>
      <c r="C1066" t="s">
        <v>2391</v>
      </c>
      <c r="D1066" t="s">
        <v>221</v>
      </c>
      <c r="G1066" t="s">
        <v>17</v>
      </c>
      <c r="H1066" t="s">
        <v>39</v>
      </c>
      <c r="I1066" t="s">
        <v>90</v>
      </c>
      <c r="J1066" t="s">
        <v>91</v>
      </c>
      <c r="K1066" t="s">
        <v>2019</v>
      </c>
      <c r="L1066" t="s">
        <v>63</v>
      </c>
      <c r="M1066" s="1">
        <v>38207</v>
      </c>
      <c r="N1066">
        <v>2004</v>
      </c>
    </row>
    <row r="1067" spans="1:14">
      <c r="A1067" t="s">
        <v>14</v>
      </c>
      <c r="B1067" t="str">
        <f>"112505200401"</f>
        <v>112505200401</v>
      </c>
      <c r="C1067" t="s">
        <v>2410</v>
      </c>
      <c r="D1067" t="s">
        <v>129</v>
      </c>
      <c r="G1067" t="s">
        <v>17</v>
      </c>
      <c r="H1067" t="s">
        <v>39</v>
      </c>
      <c r="I1067" t="s">
        <v>90</v>
      </c>
      <c r="J1067" t="s">
        <v>91</v>
      </c>
      <c r="K1067" t="s">
        <v>96</v>
      </c>
      <c r="L1067" t="s">
        <v>63</v>
      </c>
      <c r="M1067" s="1">
        <v>38132</v>
      </c>
      <c r="N1067">
        <v>2004</v>
      </c>
    </row>
    <row r="1068" spans="1:14">
      <c r="A1068" t="s">
        <v>14</v>
      </c>
      <c r="B1068" t="str">
        <f>"110907200501"</f>
        <v>110907200501</v>
      </c>
      <c r="C1068" t="s">
        <v>2487</v>
      </c>
      <c r="D1068" t="s">
        <v>259</v>
      </c>
      <c r="G1068" t="s">
        <v>17</v>
      </c>
      <c r="H1068" t="s">
        <v>39</v>
      </c>
      <c r="I1068" t="s">
        <v>90</v>
      </c>
      <c r="J1068" t="s">
        <v>91</v>
      </c>
      <c r="K1068" t="s">
        <v>96</v>
      </c>
      <c r="L1068" t="s">
        <v>22</v>
      </c>
      <c r="M1068" s="1">
        <v>38542</v>
      </c>
      <c r="N1068">
        <v>2005</v>
      </c>
    </row>
    <row r="1069" spans="1:14">
      <c r="A1069" t="s">
        <v>14</v>
      </c>
      <c r="B1069" t="str">
        <f>"112903200400"</f>
        <v>112903200400</v>
      </c>
      <c r="C1069" t="s">
        <v>2714</v>
      </c>
      <c r="D1069" t="s">
        <v>259</v>
      </c>
      <c r="G1069" t="s">
        <v>17</v>
      </c>
      <c r="H1069" t="s">
        <v>39</v>
      </c>
      <c r="I1069" t="s">
        <v>90</v>
      </c>
      <c r="J1069" t="s">
        <v>91</v>
      </c>
      <c r="K1069" t="s">
        <v>96</v>
      </c>
      <c r="L1069" t="s">
        <v>22</v>
      </c>
      <c r="M1069" s="1">
        <v>38075</v>
      </c>
      <c r="N1069">
        <v>2004</v>
      </c>
    </row>
    <row r="1070" spans="1:14">
      <c r="A1070" t="s">
        <v>14</v>
      </c>
      <c r="B1070" t="str">
        <f>"111712200400"</f>
        <v>111712200400</v>
      </c>
      <c r="C1070" t="s">
        <v>2850</v>
      </c>
      <c r="D1070" t="s">
        <v>16</v>
      </c>
      <c r="G1070" t="s">
        <v>17</v>
      </c>
      <c r="H1070" t="s">
        <v>39</v>
      </c>
      <c r="I1070" t="s">
        <v>90</v>
      </c>
      <c r="J1070" t="s">
        <v>91</v>
      </c>
      <c r="K1070" t="s">
        <v>96</v>
      </c>
      <c r="L1070" t="s">
        <v>22</v>
      </c>
      <c r="M1070" s="1">
        <v>38338</v>
      </c>
      <c r="N1070">
        <v>2004</v>
      </c>
    </row>
    <row r="1071" spans="1:14">
      <c r="A1071" t="s">
        <v>14</v>
      </c>
      <c r="B1071" t="str">
        <f>"112908200500"</f>
        <v>112908200500</v>
      </c>
      <c r="C1071" t="s">
        <v>2891</v>
      </c>
      <c r="D1071" t="s">
        <v>256</v>
      </c>
      <c r="G1071" t="s">
        <v>17</v>
      </c>
      <c r="H1071" t="s">
        <v>39</v>
      </c>
      <c r="I1071" t="s">
        <v>90</v>
      </c>
      <c r="J1071" t="s">
        <v>91</v>
      </c>
      <c r="K1071" t="s">
        <v>96</v>
      </c>
      <c r="L1071" t="s">
        <v>22</v>
      </c>
      <c r="M1071" s="1">
        <v>38593</v>
      </c>
      <c r="N1071">
        <v>2005</v>
      </c>
    </row>
    <row r="1072" spans="1:14">
      <c r="A1072" t="s">
        <v>14</v>
      </c>
      <c r="B1072" t="str">
        <f>"110107200400"</f>
        <v>110107200400</v>
      </c>
      <c r="C1072" t="s">
        <v>2914</v>
      </c>
      <c r="D1072" t="s">
        <v>50</v>
      </c>
      <c r="G1072" t="s">
        <v>17</v>
      </c>
      <c r="H1072" t="s">
        <v>39</v>
      </c>
      <c r="I1072" t="s">
        <v>90</v>
      </c>
      <c r="J1072" t="s">
        <v>91</v>
      </c>
      <c r="K1072" t="s">
        <v>96</v>
      </c>
      <c r="L1072" t="s">
        <v>22</v>
      </c>
      <c r="M1072" s="1">
        <v>38169</v>
      </c>
      <c r="N1072">
        <v>2004</v>
      </c>
    </row>
    <row r="1073" spans="1:14">
      <c r="A1073" t="s">
        <v>14</v>
      </c>
      <c r="B1073" t="str">
        <f>"110701200200"</f>
        <v>110701200200</v>
      </c>
      <c r="C1073" t="s">
        <v>88</v>
      </c>
      <c r="D1073" t="s">
        <v>89</v>
      </c>
      <c r="G1073" t="s">
        <v>17</v>
      </c>
      <c r="H1073" t="s">
        <v>51</v>
      </c>
      <c r="I1073" t="s">
        <v>90</v>
      </c>
      <c r="J1073" t="s">
        <v>91</v>
      </c>
      <c r="K1073" t="s">
        <v>92</v>
      </c>
      <c r="L1073" t="s">
        <v>63</v>
      </c>
      <c r="M1073" s="1">
        <v>37263</v>
      </c>
      <c r="N1073">
        <v>2002</v>
      </c>
    </row>
    <row r="1074" spans="1:14">
      <c r="A1074" t="s">
        <v>14</v>
      </c>
      <c r="B1074" t="str">
        <f>"112010200200"</f>
        <v>112010200200</v>
      </c>
      <c r="C1074" t="s">
        <v>112</v>
      </c>
      <c r="D1074" t="s">
        <v>113</v>
      </c>
      <c r="G1074" t="s">
        <v>17</v>
      </c>
      <c r="H1074" t="s">
        <v>51</v>
      </c>
      <c r="I1074" t="s">
        <v>90</v>
      </c>
      <c r="J1074" t="s">
        <v>91</v>
      </c>
      <c r="K1074" t="s">
        <v>92</v>
      </c>
      <c r="L1074" t="s">
        <v>63</v>
      </c>
      <c r="M1074" s="1">
        <v>37549</v>
      </c>
      <c r="N1074">
        <v>2002</v>
      </c>
    </row>
    <row r="1075" spans="1:14">
      <c r="A1075" t="s">
        <v>14</v>
      </c>
      <c r="B1075" t="str">
        <f>"111407200200"</f>
        <v>111407200200</v>
      </c>
      <c r="C1075" t="s">
        <v>275</v>
      </c>
      <c r="D1075" t="s">
        <v>95</v>
      </c>
      <c r="G1075" t="s">
        <v>17</v>
      </c>
      <c r="H1075" t="s">
        <v>51</v>
      </c>
      <c r="I1075" t="s">
        <v>90</v>
      </c>
      <c r="J1075" t="s">
        <v>91</v>
      </c>
      <c r="K1075" t="s">
        <v>92</v>
      </c>
      <c r="L1075" t="s">
        <v>22</v>
      </c>
      <c r="M1075" s="1">
        <v>37451</v>
      </c>
      <c r="N1075">
        <v>2002</v>
      </c>
    </row>
    <row r="1076" spans="1:14">
      <c r="A1076" t="s">
        <v>14</v>
      </c>
      <c r="B1076" t="str">
        <f>"111902200303"</f>
        <v>111902200303</v>
      </c>
      <c r="C1076" t="s">
        <v>398</v>
      </c>
      <c r="D1076" t="s">
        <v>95</v>
      </c>
      <c r="G1076" t="s">
        <v>17</v>
      </c>
      <c r="H1076" t="s">
        <v>51</v>
      </c>
      <c r="I1076" t="s">
        <v>90</v>
      </c>
      <c r="J1076" t="s">
        <v>91</v>
      </c>
      <c r="K1076" t="s">
        <v>96</v>
      </c>
      <c r="L1076" t="s">
        <v>22</v>
      </c>
      <c r="M1076" s="1">
        <v>37671</v>
      </c>
      <c r="N1076">
        <v>2003</v>
      </c>
    </row>
    <row r="1077" spans="1:14">
      <c r="A1077" t="s">
        <v>14</v>
      </c>
      <c r="B1077" t="str">
        <f>"112807200201"</f>
        <v>112807200201</v>
      </c>
      <c r="C1077" t="s">
        <v>456</v>
      </c>
      <c r="D1077" t="s">
        <v>129</v>
      </c>
      <c r="G1077" t="s">
        <v>17</v>
      </c>
      <c r="H1077" t="s">
        <v>51</v>
      </c>
      <c r="I1077" t="s">
        <v>90</v>
      </c>
      <c r="J1077" t="s">
        <v>91</v>
      </c>
      <c r="K1077" t="s">
        <v>92</v>
      </c>
      <c r="L1077" t="s">
        <v>63</v>
      </c>
      <c r="M1077" s="1">
        <v>37465</v>
      </c>
      <c r="N1077">
        <v>2002</v>
      </c>
    </row>
    <row r="1078" spans="1:14">
      <c r="A1078" t="s">
        <v>14</v>
      </c>
      <c r="B1078" t="str">
        <f>"111909200302"</f>
        <v>111909200302</v>
      </c>
      <c r="C1078" t="s">
        <v>459</v>
      </c>
      <c r="D1078" t="s">
        <v>259</v>
      </c>
      <c r="G1078" t="s">
        <v>17</v>
      </c>
      <c r="H1078" t="s">
        <v>51</v>
      </c>
      <c r="I1078" t="s">
        <v>90</v>
      </c>
      <c r="J1078" t="s">
        <v>91</v>
      </c>
      <c r="K1078" t="s">
        <v>462</v>
      </c>
      <c r="M1078" s="1">
        <v>37883</v>
      </c>
      <c r="N1078">
        <v>2003</v>
      </c>
    </row>
    <row r="1079" spans="1:14">
      <c r="A1079" t="s">
        <v>14</v>
      </c>
      <c r="B1079" t="str">
        <f>"110706200301"</f>
        <v>110706200301</v>
      </c>
      <c r="C1079" t="s">
        <v>489</v>
      </c>
      <c r="D1079" t="s">
        <v>53</v>
      </c>
      <c r="G1079" t="s">
        <v>17</v>
      </c>
      <c r="H1079" t="s">
        <v>51</v>
      </c>
      <c r="I1079" t="s">
        <v>90</v>
      </c>
      <c r="J1079" t="s">
        <v>91</v>
      </c>
      <c r="K1079" t="s">
        <v>92</v>
      </c>
      <c r="M1079" s="1">
        <v>37779</v>
      </c>
      <c r="N1079">
        <v>2003</v>
      </c>
    </row>
    <row r="1080" spans="1:14">
      <c r="A1080" t="s">
        <v>14</v>
      </c>
      <c r="B1080" t="str">
        <f>"111708200200"</f>
        <v>111708200200</v>
      </c>
      <c r="C1080" t="s">
        <v>564</v>
      </c>
      <c r="D1080" t="s">
        <v>115</v>
      </c>
      <c r="G1080" t="s">
        <v>17</v>
      </c>
      <c r="H1080" t="s">
        <v>51</v>
      </c>
      <c r="I1080" t="s">
        <v>90</v>
      </c>
      <c r="J1080" t="s">
        <v>91</v>
      </c>
      <c r="K1080" t="s">
        <v>96</v>
      </c>
      <c r="M1080" s="1">
        <v>37485</v>
      </c>
      <c r="N1080">
        <v>2002</v>
      </c>
    </row>
    <row r="1081" spans="1:14">
      <c r="A1081" t="s">
        <v>14</v>
      </c>
      <c r="B1081" t="str">
        <f>"112503200200"</f>
        <v>112503200200</v>
      </c>
      <c r="C1081" t="s">
        <v>566</v>
      </c>
      <c r="D1081" t="s">
        <v>181</v>
      </c>
      <c r="G1081" t="s">
        <v>17</v>
      </c>
      <c r="H1081" t="s">
        <v>51</v>
      </c>
      <c r="I1081" t="s">
        <v>90</v>
      </c>
      <c r="J1081" t="s">
        <v>91</v>
      </c>
      <c r="K1081" t="s">
        <v>92</v>
      </c>
      <c r="L1081" t="s">
        <v>22</v>
      </c>
      <c r="M1081" s="1">
        <v>37340</v>
      </c>
      <c r="N1081">
        <v>2002</v>
      </c>
    </row>
    <row r="1082" spans="1:14">
      <c r="A1082" t="s">
        <v>14</v>
      </c>
      <c r="B1082" t="str">
        <f>"110404200201"</f>
        <v>110404200201</v>
      </c>
      <c r="C1082" t="s">
        <v>661</v>
      </c>
      <c r="D1082" t="s">
        <v>24</v>
      </c>
      <c r="G1082" t="s">
        <v>17</v>
      </c>
      <c r="H1082" t="s">
        <v>51</v>
      </c>
      <c r="I1082" t="s">
        <v>90</v>
      </c>
      <c r="J1082" t="s">
        <v>91</v>
      </c>
      <c r="K1082" t="s">
        <v>92</v>
      </c>
      <c r="L1082" t="s">
        <v>22</v>
      </c>
      <c r="M1082" s="1">
        <v>37350</v>
      </c>
      <c r="N1082">
        <v>2002</v>
      </c>
    </row>
    <row r="1083" spans="1:14">
      <c r="A1083" t="s">
        <v>14</v>
      </c>
      <c r="B1083" t="str">
        <f>"112107200200"</f>
        <v>112107200200</v>
      </c>
      <c r="C1083" t="s">
        <v>666</v>
      </c>
      <c r="D1083" t="s">
        <v>53</v>
      </c>
      <c r="G1083" t="s">
        <v>17</v>
      </c>
      <c r="H1083" t="s">
        <v>51</v>
      </c>
      <c r="I1083" t="s">
        <v>90</v>
      </c>
      <c r="J1083" t="s">
        <v>91</v>
      </c>
      <c r="K1083" t="s">
        <v>96</v>
      </c>
      <c r="L1083" t="s">
        <v>22</v>
      </c>
      <c r="M1083" s="1">
        <v>37458</v>
      </c>
      <c r="N1083">
        <v>2002</v>
      </c>
    </row>
    <row r="1084" spans="1:14">
      <c r="A1084" t="s">
        <v>14</v>
      </c>
      <c r="B1084" t="str">
        <f>"110312200300"</f>
        <v>110312200300</v>
      </c>
      <c r="C1084" t="s">
        <v>705</v>
      </c>
      <c r="D1084" t="s">
        <v>209</v>
      </c>
      <c r="G1084" t="s">
        <v>17</v>
      </c>
      <c r="H1084" t="s">
        <v>51</v>
      </c>
      <c r="I1084" t="s">
        <v>90</v>
      </c>
      <c r="J1084" t="s">
        <v>91</v>
      </c>
      <c r="K1084" t="s">
        <v>92</v>
      </c>
      <c r="M1084" s="1">
        <v>37958</v>
      </c>
      <c r="N1084">
        <v>2003</v>
      </c>
    </row>
    <row r="1085" spans="1:14">
      <c r="A1085" t="s">
        <v>14</v>
      </c>
      <c r="B1085" t="str">
        <f>"112110200302"</f>
        <v>112110200302</v>
      </c>
      <c r="C1085" t="s">
        <v>814</v>
      </c>
      <c r="D1085" t="s">
        <v>89</v>
      </c>
      <c r="G1085" t="s">
        <v>17</v>
      </c>
      <c r="H1085" t="s">
        <v>51</v>
      </c>
      <c r="I1085" t="s">
        <v>90</v>
      </c>
      <c r="J1085" t="s">
        <v>91</v>
      </c>
      <c r="K1085" t="s">
        <v>96</v>
      </c>
      <c r="M1085" s="1">
        <v>37915</v>
      </c>
      <c r="N1085">
        <v>2003</v>
      </c>
    </row>
    <row r="1086" spans="1:14">
      <c r="A1086" t="s">
        <v>14</v>
      </c>
      <c r="B1086" t="str">
        <f>"113107200300"</f>
        <v>113107200300</v>
      </c>
      <c r="C1086" t="s">
        <v>840</v>
      </c>
      <c r="D1086" t="s">
        <v>259</v>
      </c>
      <c r="G1086" t="s">
        <v>17</v>
      </c>
      <c r="H1086" t="s">
        <v>51</v>
      </c>
      <c r="I1086" t="s">
        <v>90</v>
      </c>
      <c r="J1086" t="s">
        <v>91</v>
      </c>
      <c r="K1086" t="s">
        <v>92</v>
      </c>
      <c r="M1086" s="1">
        <v>37833</v>
      </c>
      <c r="N1086">
        <v>2003</v>
      </c>
    </row>
    <row r="1087" spans="1:14">
      <c r="A1087" t="s">
        <v>14</v>
      </c>
      <c r="B1087" t="str">
        <f>"112807200200"</f>
        <v>112807200200</v>
      </c>
      <c r="C1087" t="s">
        <v>900</v>
      </c>
      <c r="D1087" t="s">
        <v>89</v>
      </c>
      <c r="G1087" t="s">
        <v>17</v>
      </c>
      <c r="H1087" t="s">
        <v>51</v>
      </c>
      <c r="I1087" t="s">
        <v>90</v>
      </c>
      <c r="J1087" t="s">
        <v>91</v>
      </c>
      <c r="K1087" t="s">
        <v>462</v>
      </c>
      <c r="L1087" t="s">
        <v>22</v>
      </c>
      <c r="M1087" s="1">
        <v>37465</v>
      </c>
      <c r="N1087">
        <v>2002</v>
      </c>
    </row>
    <row r="1088" spans="1:14">
      <c r="A1088" t="s">
        <v>14</v>
      </c>
      <c r="B1088" t="str">
        <f>"110212200301"</f>
        <v>110212200301</v>
      </c>
      <c r="C1088" t="s">
        <v>942</v>
      </c>
      <c r="D1088" t="s">
        <v>113</v>
      </c>
      <c r="G1088" t="s">
        <v>17</v>
      </c>
      <c r="H1088" t="s">
        <v>51</v>
      </c>
      <c r="I1088" t="s">
        <v>90</v>
      </c>
      <c r="J1088" t="s">
        <v>91</v>
      </c>
      <c r="K1088" t="s">
        <v>92</v>
      </c>
      <c r="L1088" t="s">
        <v>22</v>
      </c>
      <c r="M1088" s="1">
        <v>37957</v>
      </c>
      <c r="N1088">
        <v>2003</v>
      </c>
    </row>
    <row r="1089" spans="1:14">
      <c r="A1089" t="s">
        <v>14</v>
      </c>
      <c r="B1089" t="str">
        <f>"112609200300"</f>
        <v>112609200300</v>
      </c>
      <c r="C1089" t="s">
        <v>950</v>
      </c>
      <c r="D1089" t="s">
        <v>95</v>
      </c>
      <c r="G1089" t="s">
        <v>17</v>
      </c>
      <c r="H1089" t="s">
        <v>51</v>
      </c>
      <c r="I1089" t="s">
        <v>90</v>
      </c>
      <c r="J1089" t="s">
        <v>91</v>
      </c>
      <c r="K1089" t="s">
        <v>92</v>
      </c>
      <c r="L1089" t="s">
        <v>63</v>
      </c>
      <c r="M1089" s="1">
        <v>37890</v>
      </c>
      <c r="N1089">
        <v>2003</v>
      </c>
    </row>
    <row r="1090" spans="1:14">
      <c r="A1090" t="s">
        <v>14</v>
      </c>
      <c r="B1090" t="str">
        <f>"111211200300"</f>
        <v>111211200300</v>
      </c>
      <c r="C1090" t="s">
        <v>1003</v>
      </c>
      <c r="D1090" t="s">
        <v>50</v>
      </c>
      <c r="G1090" t="s">
        <v>17</v>
      </c>
      <c r="H1090" t="s">
        <v>51</v>
      </c>
      <c r="I1090" t="s">
        <v>90</v>
      </c>
      <c r="J1090" t="s">
        <v>91</v>
      </c>
      <c r="K1090" t="s">
        <v>92</v>
      </c>
      <c r="M1090" s="1">
        <v>37937</v>
      </c>
      <c r="N1090">
        <v>2003</v>
      </c>
    </row>
    <row r="1091" spans="1:14">
      <c r="A1091" t="s">
        <v>14</v>
      </c>
      <c r="B1091" t="str">
        <f>"112301200300"</f>
        <v>112301200300</v>
      </c>
      <c r="C1091" t="s">
        <v>1062</v>
      </c>
      <c r="D1091" t="s">
        <v>209</v>
      </c>
      <c r="G1091" t="s">
        <v>17</v>
      </c>
      <c r="H1091" t="s">
        <v>51</v>
      </c>
      <c r="I1091" t="s">
        <v>90</v>
      </c>
      <c r="J1091" t="s">
        <v>91</v>
      </c>
      <c r="K1091" t="s">
        <v>96</v>
      </c>
      <c r="L1091" t="s">
        <v>22</v>
      </c>
      <c r="M1091" s="1">
        <v>37644</v>
      </c>
      <c r="N1091">
        <v>2003</v>
      </c>
    </row>
    <row r="1092" spans="1:14">
      <c r="A1092" t="s">
        <v>14</v>
      </c>
      <c r="B1092" t="str">
        <f>"110205200200"</f>
        <v>110205200200</v>
      </c>
      <c r="C1092" t="s">
        <v>1219</v>
      </c>
      <c r="D1092" t="s">
        <v>917</v>
      </c>
      <c r="G1092" t="s">
        <v>17</v>
      </c>
      <c r="H1092" t="s">
        <v>51</v>
      </c>
      <c r="I1092" t="s">
        <v>90</v>
      </c>
      <c r="J1092" t="s">
        <v>91</v>
      </c>
      <c r="K1092" t="s">
        <v>490</v>
      </c>
      <c r="L1092" t="s">
        <v>22</v>
      </c>
      <c r="M1092" s="1">
        <v>37378</v>
      </c>
      <c r="N1092">
        <v>2002</v>
      </c>
    </row>
    <row r="1093" spans="1:14">
      <c r="A1093" t="s">
        <v>14</v>
      </c>
      <c r="B1093" t="str">
        <f>"110805200201"</f>
        <v>110805200201</v>
      </c>
      <c r="C1093" t="s">
        <v>1233</v>
      </c>
      <c r="D1093" t="s">
        <v>886</v>
      </c>
      <c r="G1093" t="s">
        <v>17</v>
      </c>
      <c r="H1093" t="s">
        <v>51</v>
      </c>
      <c r="I1093" t="s">
        <v>90</v>
      </c>
      <c r="J1093" t="s">
        <v>91</v>
      </c>
      <c r="K1093" t="s">
        <v>92</v>
      </c>
      <c r="L1093" t="s">
        <v>22</v>
      </c>
      <c r="M1093" s="1">
        <v>37384</v>
      </c>
      <c r="N1093">
        <v>2002</v>
      </c>
    </row>
    <row r="1094" spans="1:14">
      <c r="A1094" t="s">
        <v>14</v>
      </c>
      <c r="B1094" t="str">
        <f>"111209200200"</f>
        <v>111209200200</v>
      </c>
      <c r="C1094" t="s">
        <v>1248</v>
      </c>
      <c r="D1094" t="s">
        <v>259</v>
      </c>
      <c r="G1094" t="s">
        <v>17</v>
      </c>
      <c r="H1094" t="s">
        <v>51</v>
      </c>
      <c r="I1094" t="s">
        <v>90</v>
      </c>
      <c r="J1094" t="s">
        <v>91</v>
      </c>
      <c r="K1094" t="s">
        <v>92</v>
      </c>
      <c r="L1094" t="s">
        <v>22</v>
      </c>
      <c r="M1094" s="1">
        <v>37511</v>
      </c>
      <c r="N1094">
        <v>2002</v>
      </c>
    </row>
    <row r="1095" spans="1:14">
      <c r="A1095" t="s">
        <v>14</v>
      </c>
      <c r="B1095" t="str">
        <f>"111408200200"</f>
        <v>111408200200</v>
      </c>
      <c r="C1095" t="s">
        <v>1440</v>
      </c>
      <c r="D1095" t="s">
        <v>136</v>
      </c>
      <c r="G1095" t="s">
        <v>17</v>
      </c>
      <c r="H1095" t="s">
        <v>51</v>
      </c>
      <c r="I1095" t="s">
        <v>90</v>
      </c>
      <c r="J1095" t="s">
        <v>91</v>
      </c>
      <c r="K1095" t="s">
        <v>462</v>
      </c>
      <c r="L1095" t="s">
        <v>22</v>
      </c>
      <c r="M1095" s="1">
        <v>37482</v>
      </c>
      <c r="N1095">
        <v>2002</v>
      </c>
    </row>
    <row r="1096" spans="1:14">
      <c r="A1096" t="s">
        <v>14</v>
      </c>
      <c r="B1096" t="str">
        <f>"112402200201"</f>
        <v>112402200201</v>
      </c>
      <c r="C1096" t="s">
        <v>1578</v>
      </c>
      <c r="D1096" t="s">
        <v>16</v>
      </c>
      <c r="G1096" t="s">
        <v>17</v>
      </c>
      <c r="H1096" t="s">
        <v>51</v>
      </c>
      <c r="I1096" t="s">
        <v>90</v>
      </c>
      <c r="J1096" t="s">
        <v>91</v>
      </c>
      <c r="K1096" t="s">
        <v>92</v>
      </c>
      <c r="L1096" t="s">
        <v>63</v>
      </c>
      <c r="M1096" s="1">
        <v>37311</v>
      </c>
      <c r="N1096">
        <v>2002</v>
      </c>
    </row>
    <row r="1097" spans="1:14">
      <c r="A1097" t="s">
        <v>14</v>
      </c>
      <c r="B1097" t="str">
        <f>"112712200301"</f>
        <v>112712200301</v>
      </c>
      <c r="C1097" t="s">
        <v>1649</v>
      </c>
      <c r="D1097" t="s">
        <v>403</v>
      </c>
      <c r="G1097" t="s">
        <v>17</v>
      </c>
      <c r="H1097" t="s">
        <v>51</v>
      </c>
      <c r="I1097" t="s">
        <v>90</v>
      </c>
      <c r="J1097" t="s">
        <v>91</v>
      </c>
      <c r="K1097" t="s">
        <v>96</v>
      </c>
      <c r="M1097" s="1">
        <v>37982</v>
      </c>
      <c r="N1097">
        <v>2003</v>
      </c>
    </row>
    <row r="1098" spans="1:14">
      <c r="A1098" t="s">
        <v>14</v>
      </c>
      <c r="B1098" t="str">
        <f>"112309200300"</f>
        <v>112309200300</v>
      </c>
      <c r="C1098" t="s">
        <v>1742</v>
      </c>
      <c r="D1098" t="s">
        <v>209</v>
      </c>
      <c r="G1098" t="s">
        <v>17</v>
      </c>
      <c r="H1098" t="s">
        <v>51</v>
      </c>
      <c r="I1098" t="s">
        <v>90</v>
      </c>
      <c r="J1098" t="s">
        <v>91</v>
      </c>
      <c r="K1098" t="s">
        <v>462</v>
      </c>
      <c r="L1098" t="s">
        <v>22</v>
      </c>
      <c r="M1098" s="1">
        <v>37887</v>
      </c>
      <c r="N1098">
        <v>2003</v>
      </c>
    </row>
    <row r="1099" spans="1:14">
      <c r="A1099" t="s">
        <v>14</v>
      </c>
      <c r="B1099" t="str">
        <f>"111505200301"</f>
        <v>111505200301</v>
      </c>
      <c r="C1099" t="s">
        <v>1974</v>
      </c>
      <c r="D1099" t="s">
        <v>209</v>
      </c>
      <c r="G1099" t="s">
        <v>17</v>
      </c>
      <c r="H1099" t="s">
        <v>51</v>
      </c>
      <c r="I1099" t="s">
        <v>90</v>
      </c>
      <c r="J1099" t="s">
        <v>91</v>
      </c>
      <c r="K1099" t="s">
        <v>92</v>
      </c>
      <c r="M1099" s="1">
        <v>37756</v>
      </c>
      <c r="N1099">
        <v>2003</v>
      </c>
    </row>
    <row r="1100" spans="1:14">
      <c r="A1100" t="s">
        <v>14</v>
      </c>
      <c r="B1100" t="str">
        <f>"112204200200"</f>
        <v>112204200200</v>
      </c>
      <c r="C1100" t="s">
        <v>1987</v>
      </c>
      <c r="D1100" t="s">
        <v>115</v>
      </c>
      <c r="G1100" t="s">
        <v>17</v>
      </c>
      <c r="H1100" t="s">
        <v>51</v>
      </c>
      <c r="I1100" t="s">
        <v>90</v>
      </c>
      <c r="J1100" t="s">
        <v>91</v>
      </c>
      <c r="K1100" t="s">
        <v>462</v>
      </c>
      <c r="L1100" t="s">
        <v>22</v>
      </c>
      <c r="M1100" s="1">
        <v>37368</v>
      </c>
      <c r="N1100">
        <v>2002</v>
      </c>
    </row>
    <row r="1101" spans="1:14">
      <c r="A1101" t="s">
        <v>14</v>
      </c>
      <c r="B1101" t="str">
        <f>"110801200200"</f>
        <v>110801200200</v>
      </c>
      <c r="C1101" t="s">
        <v>2029</v>
      </c>
      <c r="D1101" t="s">
        <v>1361</v>
      </c>
      <c r="G1101" t="s">
        <v>17</v>
      </c>
      <c r="H1101" t="s">
        <v>51</v>
      </c>
      <c r="I1101" t="s">
        <v>90</v>
      </c>
      <c r="J1101" t="s">
        <v>91</v>
      </c>
      <c r="K1101" t="s">
        <v>92</v>
      </c>
      <c r="M1101" s="1">
        <v>37264</v>
      </c>
      <c r="N1101">
        <v>2002</v>
      </c>
    </row>
    <row r="1102" spans="1:14">
      <c r="A1102" t="s">
        <v>14</v>
      </c>
      <c r="B1102" t="str">
        <f>"110603200300"</f>
        <v>110603200300</v>
      </c>
      <c r="C1102" t="s">
        <v>2029</v>
      </c>
      <c r="D1102" t="s">
        <v>2030</v>
      </c>
      <c r="G1102" t="s">
        <v>17</v>
      </c>
      <c r="H1102" t="s">
        <v>51</v>
      </c>
      <c r="I1102" t="s">
        <v>90</v>
      </c>
      <c r="J1102" t="s">
        <v>91</v>
      </c>
      <c r="K1102" t="s">
        <v>92</v>
      </c>
      <c r="L1102" t="s">
        <v>22</v>
      </c>
      <c r="M1102" s="1">
        <v>37686</v>
      </c>
      <c r="N1102">
        <v>2003</v>
      </c>
    </row>
    <row r="1103" spans="1:14">
      <c r="A1103" t="s">
        <v>14</v>
      </c>
      <c r="B1103" t="str">
        <f>"110909200301"</f>
        <v>110909200301</v>
      </c>
      <c r="C1103" t="s">
        <v>2240</v>
      </c>
      <c r="D1103" t="s">
        <v>653</v>
      </c>
      <c r="G1103" t="s">
        <v>17</v>
      </c>
      <c r="H1103" t="s">
        <v>51</v>
      </c>
      <c r="I1103" t="s">
        <v>90</v>
      </c>
      <c r="J1103" t="s">
        <v>91</v>
      </c>
      <c r="K1103" t="s">
        <v>96</v>
      </c>
      <c r="L1103" t="s">
        <v>22</v>
      </c>
      <c r="M1103" s="1">
        <v>37873</v>
      </c>
      <c r="N1103">
        <v>2003</v>
      </c>
    </row>
    <row r="1104" spans="1:14">
      <c r="A1104" t="s">
        <v>14</v>
      </c>
      <c r="B1104" t="str">
        <f>"110412200300"</f>
        <v>110412200300</v>
      </c>
      <c r="C1104" t="s">
        <v>2242</v>
      </c>
      <c r="D1104" t="s">
        <v>24</v>
      </c>
      <c r="G1104" t="s">
        <v>17</v>
      </c>
      <c r="H1104" t="s">
        <v>51</v>
      </c>
      <c r="I1104" t="s">
        <v>90</v>
      </c>
      <c r="J1104" t="s">
        <v>91</v>
      </c>
      <c r="K1104" t="s">
        <v>96</v>
      </c>
      <c r="L1104" t="s">
        <v>22</v>
      </c>
      <c r="M1104" s="1">
        <v>37959</v>
      </c>
      <c r="N1104">
        <v>2003</v>
      </c>
    </row>
    <row r="1105" spans="1:14">
      <c r="A1105" t="s">
        <v>14</v>
      </c>
      <c r="B1105" t="str">
        <f>"111807200300"</f>
        <v>111807200300</v>
      </c>
      <c r="C1105" t="s">
        <v>2335</v>
      </c>
      <c r="D1105" t="s">
        <v>95</v>
      </c>
      <c r="G1105" t="s">
        <v>17</v>
      </c>
      <c r="H1105" t="s">
        <v>51</v>
      </c>
      <c r="I1105" t="s">
        <v>90</v>
      </c>
      <c r="J1105" t="s">
        <v>91</v>
      </c>
      <c r="K1105" t="s">
        <v>96</v>
      </c>
      <c r="L1105" t="s">
        <v>63</v>
      </c>
      <c r="M1105" s="1">
        <v>37820</v>
      </c>
      <c r="N1105">
        <v>2003</v>
      </c>
    </row>
    <row r="1106" spans="1:14">
      <c r="A1106" t="s">
        <v>14</v>
      </c>
      <c r="B1106" t="str">
        <f>"111102200300"</f>
        <v>111102200300</v>
      </c>
      <c r="C1106" t="s">
        <v>2356</v>
      </c>
      <c r="D1106" t="s">
        <v>259</v>
      </c>
      <c r="G1106" t="s">
        <v>17</v>
      </c>
      <c r="H1106" t="s">
        <v>51</v>
      </c>
      <c r="I1106" t="s">
        <v>90</v>
      </c>
      <c r="J1106" t="s">
        <v>91</v>
      </c>
      <c r="K1106" t="s">
        <v>92</v>
      </c>
      <c r="L1106" t="s">
        <v>63</v>
      </c>
      <c r="M1106" s="1">
        <v>37663</v>
      </c>
      <c r="N1106">
        <v>2003</v>
      </c>
    </row>
    <row r="1107" spans="1:14">
      <c r="A1107" t="s">
        <v>14</v>
      </c>
      <c r="B1107" t="str">
        <f>"110204200301"</f>
        <v>110204200301</v>
      </c>
      <c r="C1107" t="s">
        <v>2393</v>
      </c>
      <c r="D1107" t="s">
        <v>53</v>
      </c>
      <c r="G1107" t="s">
        <v>17</v>
      </c>
      <c r="H1107" t="s">
        <v>51</v>
      </c>
      <c r="I1107" t="s">
        <v>90</v>
      </c>
      <c r="J1107" t="s">
        <v>91</v>
      </c>
      <c r="K1107" t="s">
        <v>92</v>
      </c>
      <c r="L1107" t="s">
        <v>22</v>
      </c>
      <c r="M1107" s="1">
        <v>37713</v>
      </c>
      <c r="N1107">
        <v>2003</v>
      </c>
    </row>
    <row r="1108" spans="1:14">
      <c r="A1108" t="s">
        <v>14</v>
      </c>
      <c r="B1108" t="str">
        <f>"112104200202"</f>
        <v>112104200202</v>
      </c>
      <c r="C1108" t="s">
        <v>2566</v>
      </c>
      <c r="D1108" t="s">
        <v>387</v>
      </c>
      <c r="G1108" t="s">
        <v>17</v>
      </c>
      <c r="H1108" t="s">
        <v>51</v>
      </c>
      <c r="I1108" t="s">
        <v>90</v>
      </c>
      <c r="J1108" t="s">
        <v>91</v>
      </c>
      <c r="K1108" t="s">
        <v>96</v>
      </c>
      <c r="L1108" t="s">
        <v>22</v>
      </c>
      <c r="M1108" s="1">
        <v>37367</v>
      </c>
      <c r="N1108">
        <v>2002</v>
      </c>
    </row>
    <row r="1109" spans="1:14">
      <c r="A1109" t="s">
        <v>14</v>
      </c>
      <c r="B1109" t="str">
        <f>"111501200300"</f>
        <v>111501200300</v>
      </c>
      <c r="C1109" t="s">
        <v>2592</v>
      </c>
      <c r="D1109" t="s">
        <v>209</v>
      </c>
      <c r="G1109" t="s">
        <v>17</v>
      </c>
      <c r="H1109" t="s">
        <v>51</v>
      </c>
      <c r="I1109" t="s">
        <v>90</v>
      </c>
      <c r="J1109" t="s">
        <v>91</v>
      </c>
      <c r="K1109" t="s">
        <v>92</v>
      </c>
      <c r="L1109" t="s">
        <v>63</v>
      </c>
      <c r="M1109" s="1">
        <v>37636</v>
      </c>
      <c r="N1109">
        <v>2003</v>
      </c>
    </row>
    <row r="1110" spans="1:14">
      <c r="A1110" t="s">
        <v>14</v>
      </c>
      <c r="B1110" t="str">
        <f>"111204200200"</f>
        <v>111204200200</v>
      </c>
      <c r="C1110" t="s">
        <v>2615</v>
      </c>
      <c r="D1110" t="s">
        <v>50</v>
      </c>
      <c r="G1110" t="s">
        <v>17</v>
      </c>
      <c r="H1110" t="s">
        <v>51</v>
      </c>
      <c r="I1110" t="s">
        <v>90</v>
      </c>
      <c r="J1110" t="s">
        <v>91</v>
      </c>
      <c r="K1110" t="s">
        <v>96</v>
      </c>
      <c r="L1110" t="s">
        <v>22</v>
      </c>
      <c r="M1110" s="1">
        <v>37358</v>
      </c>
      <c r="N1110">
        <v>2002</v>
      </c>
    </row>
    <row r="1111" spans="1:14">
      <c r="A1111" t="s">
        <v>14</v>
      </c>
      <c r="B1111" t="str">
        <f>"112604200200"</f>
        <v>112604200200</v>
      </c>
      <c r="C1111" t="s">
        <v>2617</v>
      </c>
      <c r="D1111" t="s">
        <v>256</v>
      </c>
      <c r="G1111" t="s">
        <v>17</v>
      </c>
      <c r="H1111" t="s">
        <v>51</v>
      </c>
      <c r="I1111" t="s">
        <v>90</v>
      </c>
      <c r="J1111" t="s">
        <v>91</v>
      </c>
      <c r="K1111" t="s">
        <v>92</v>
      </c>
      <c r="L1111" t="s">
        <v>22</v>
      </c>
      <c r="M1111" s="1">
        <v>37372</v>
      </c>
      <c r="N1111">
        <v>2002</v>
      </c>
    </row>
    <row r="1112" spans="1:14">
      <c r="A1112" t="s">
        <v>14</v>
      </c>
      <c r="B1112" t="str">
        <f>"111901200300"</f>
        <v>111901200300</v>
      </c>
      <c r="C1112" t="s">
        <v>2751</v>
      </c>
      <c r="D1112" t="s">
        <v>1235</v>
      </c>
      <c r="G1112" t="s">
        <v>17</v>
      </c>
      <c r="H1112" t="s">
        <v>51</v>
      </c>
      <c r="I1112" t="s">
        <v>90</v>
      </c>
      <c r="J1112" t="s">
        <v>91</v>
      </c>
      <c r="K1112" t="s">
        <v>96</v>
      </c>
      <c r="L1112" t="s">
        <v>22</v>
      </c>
      <c r="M1112" s="1">
        <v>37640</v>
      </c>
      <c r="N1112">
        <v>2003</v>
      </c>
    </row>
    <row r="1113" spans="1:14">
      <c r="A1113" t="s">
        <v>14</v>
      </c>
      <c r="B1113" t="str">
        <f>"110502200200"</f>
        <v>110502200200</v>
      </c>
      <c r="C1113" t="s">
        <v>2768</v>
      </c>
      <c r="D1113" t="s">
        <v>113</v>
      </c>
      <c r="G1113" t="s">
        <v>17</v>
      </c>
      <c r="H1113" t="s">
        <v>51</v>
      </c>
      <c r="I1113" t="s">
        <v>90</v>
      </c>
      <c r="J1113" t="s">
        <v>91</v>
      </c>
      <c r="K1113" t="s">
        <v>92</v>
      </c>
      <c r="L1113" t="s">
        <v>22</v>
      </c>
      <c r="M1113" s="1">
        <v>37292</v>
      </c>
      <c r="N1113">
        <v>2002</v>
      </c>
    </row>
    <row r="1114" spans="1:14">
      <c r="A1114" t="s">
        <v>14</v>
      </c>
      <c r="B1114" t="str">
        <f>"112702200201"</f>
        <v>112702200201</v>
      </c>
      <c r="C1114" t="s">
        <v>2811</v>
      </c>
      <c r="D1114" t="s">
        <v>129</v>
      </c>
      <c r="G1114" t="s">
        <v>17</v>
      </c>
      <c r="H1114" t="s">
        <v>51</v>
      </c>
      <c r="I1114" t="s">
        <v>90</v>
      </c>
      <c r="J1114" t="s">
        <v>91</v>
      </c>
      <c r="K1114" t="s">
        <v>92</v>
      </c>
      <c r="M1114" s="1">
        <v>37314</v>
      </c>
      <c r="N1114">
        <v>2002</v>
      </c>
    </row>
    <row r="1115" spans="1:14">
      <c r="A1115" t="s">
        <v>14</v>
      </c>
      <c r="B1115" t="str">
        <f>"110312200200"</f>
        <v>110312200200</v>
      </c>
      <c r="C1115" t="s">
        <v>2842</v>
      </c>
      <c r="D1115" t="s">
        <v>256</v>
      </c>
      <c r="G1115" t="s">
        <v>17</v>
      </c>
      <c r="H1115" t="s">
        <v>51</v>
      </c>
      <c r="I1115" t="s">
        <v>90</v>
      </c>
      <c r="J1115" t="s">
        <v>91</v>
      </c>
      <c r="K1115" t="s">
        <v>92</v>
      </c>
      <c r="L1115" t="s">
        <v>22</v>
      </c>
      <c r="M1115" s="1">
        <v>37593</v>
      </c>
      <c r="N1115">
        <v>2002</v>
      </c>
    </row>
    <row r="1116" spans="1:14">
      <c r="A1116" t="s">
        <v>14</v>
      </c>
      <c r="B1116" t="str">
        <f>"110304200301"</f>
        <v>110304200301</v>
      </c>
      <c r="C1116" t="s">
        <v>2897</v>
      </c>
      <c r="D1116" t="s">
        <v>24</v>
      </c>
      <c r="G1116" t="s">
        <v>17</v>
      </c>
      <c r="H1116" t="s">
        <v>51</v>
      </c>
      <c r="I1116" t="s">
        <v>90</v>
      </c>
      <c r="J1116" t="s">
        <v>91</v>
      </c>
      <c r="K1116" t="s">
        <v>92</v>
      </c>
      <c r="L1116" t="s">
        <v>22</v>
      </c>
      <c r="M1116" s="1">
        <v>37714</v>
      </c>
      <c r="N1116">
        <v>2003</v>
      </c>
    </row>
    <row r="1117" spans="1:14">
      <c r="A1117" t="s">
        <v>14</v>
      </c>
      <c r="B1117" t="str">
        <f>"111607200300"</f>
        <v>111607200300</v>
      </c>
      <c r="C1117" t="s">
        <v>2922</v>
      </c>
      <c r="D1117" t="s">
        <v>70</v>
      </c>
      <c r="G1117" t="s">
        <v>17</v>
      </c>
      <c r="H1117" t="s">
        <v>51</v>
      </c>
      <c r="I1117" t="s">
        <v>90</v>
      </c>
      <c r="J1117" t="s">
        <v>91</v>
      </c>
      <c r="K1117" t="s">
        <v>92</v>
      </c>
      <c r="L1117" t="s">
        <v>22</v>
      </c>
      <c r="M1117" s="1">
        <v>37818</v>
      </c>
      <c r="N1117">
        <v>2003</v>
      </c>
    </row>
    <row r="1118" spans="1:14">
      <c r="A1118" t="s">
        <v>14</v>
      </c>
      <c r="B1118" t="str">
        <f>"112507200200"</f>
        <v>112507200200</v>
      </c>
      <c r="C1118" t="s">
        <v>2923</v>
      </c>
      <c r="D1118" t="s">
        <v>1310</v>
      </c>
      <c r="G1118" t="s">
        <v>17</v>
      </c>
      <c r="H1118" t="s">
        <v>51</v>
      </c>
      <c r="I1118" t="s">
        <v>90</v>
      </c>
      <c r="J1118" t="s">
        <v>91</v>
      </c>
      <c r="K1118" t="s">
        <v>462</v>
      </c>
      <c r="L1118" t="s">
        <v>22</v>
      </c>
      <c r="M1118" s="1">
        <v>37462</v>
      </c>
      <c r="N1118">
        <v>2002</v>
      </c>
    </row>
    <row r="1119" spans="1:14">
      <c r="A1119" t="s">
        <v>14</v>
      </c>
      <c r="B1119" t="str">
        <f>"121404199900"</f>
        <v>121404199900</v>
      </c>
      <c r="C1119" t="s">
        <v>1965</v>
      </c>
      <c r="D1119" t="s">
        <v>234</v>
      </c>
      <c r="G1119" t="s">
        <v>32</v>
      </c>
      <c r="H1119" t="s">
        <v>44</v>
      </c>
      <c r="I1119" t="s">
        <v>1144</v>
      </c>
      <c r="J1119" t="s">
        <v>91</v>
      </c>
      <c r="K1119" t="s">
        <v>92</v>
      </c>
      <c r="L1119" t="s">
        <v>48</v>
      </c>
      <c r="M1119" s="1">
        <v>36264</v>
      </c>
      <c r="N1119">
        <v>1999</v>
      </c>
    </row>
    <row r="1120" spans="1:14">
      <c r="A1120" t="s">
        <v>14</v>
      </c>
      <c r="B1120" t="str">
        <f>"110808199500"</f>
        <v>110808199500</v>
      </c>
      <c r="C1120" t="s">
        <v>1143</v>
      </c>
      <c r="D1120" t="s">
        <v>50</v>
      </c>
      <c r="G1120" t="s">
        <v>17</v>
      </c>
      <c r="H1120" t="s">
        <v>25</v>
      </c>
      <c r="I1120" t="s">
        <v>1144</v>
      </c>
      <c r="J1120" t="s">
        <v>91</v>
      </c>
      <c r="K1120" t="s">
        <v>92</v>
      </c>
      <c r="L1120" t="s">
        <v>48</v>
      </c>
      <c r="M1120" s="1">
        <v>34919</v>
      </c>
      <c r="N1120">
        <v>1995</v>
      </c>
    </row>
    <row r="1121" spans="1:14">
      <c r="A1121" t="s">
        <v>14</v>
      </c>
      <c r="B1121" t="str">
        <f>"111006199300"</f>
        <v>111006199300</v>
      </c>
      <c r="C1121" t="s">
        <v>1952</v>
      </c>
      <c r="D1121" t="s">
        <v>50</v>
      </c>
      <c r="G1121" t="s">
        <v>17</v>
      </c>
      <c r="H1121" t="s">
        <v>25</v>
      </c>
      <c r="I1121" t="s">
        <v>1144</v>
      </c>
      <c r="J1121" t="s">
        <v>91</v>
      </c>
      <c r="K1121" t="s">
        <v>92</v>
      </c>
      <c r="L1121" t="s">
        <v>48</v>
      </c>
      <c r="M1121" s="1">
        <v>34130</v>
      </c>
      <c r="N1121">
        <v>1993</v>
      </c>
    </row>
    <row r="1122" spans="1:14">
      <c r="A1122" t="s">
        <v>14</v>
      </c>
      <c r="B1122" t="str">
        <f>"110404199902"</f>
        <v>110404199902</v>
      </c>
      <c r="C1122" t="s">
        <v>2366</v>
      </c>
      <c r="D1122" t="s">
        <v>98</v>
      </c>
      <c r="G1122" t="s">
        <v>17</v>
      </c>
      <c r="H1122" t="s">
        <v>18</v>
      </c>
      <c r="I1122" t="s">
        <v>1144</v>
      </c>
      <c r="J1122" t="s">
        <v>91</v>
      </c>
      <c r="K1122" t="s">
        <v>2062</v>
      </c>
      <c r="L1122" t="s">
        <v>48</v>
      </c>
      <c r="M1122" s="1">
        <v>36254</v>
      </c>
      <c r="N1122">
        <v>1999</v>
      </c>
    </row>
    <row r="1123" spans="1:14">
      <c r="A1123" t="s">
        <v>14</v>
      </c>
      <c r="B1123" t="str">
        <f>"121503199500"</f>
        <v>121503199500</v>
      </c>
      <c r="C1123" t="s">
        <v>206</v>
      </c>
      <c r="D1123" t="s">
        <v>194</v>
      </c>
      <c r="G1123" t="s">
        <v>32</v>
      </c>
      <c r="H1123" t="s">
        <v>59</v>
      </c>
      <c r="I1123" t="s">
        <v>207</v>
      </c>
      <c r="J1123" t="s">
        <v>91</v>
      </c>
      <c r="K1123" t="s">
        <v>96</v>
      </c>
      <c r="L1123" t="s">
        <v>48</v>
      </c>
      <c r="M1123" s="1">
        <v>34773</v>
      </c>
      <c r="N1123">
        <v>1995</v>
      </c>
    </row>
    <row r="1124" spans="1:14">
      <c r="A1124" t="s">
        <v>14</v>
      </c>
      <c r="B1124" t="str">
        <f>"120907199301"</f>
        <v>120907199301</v>
      </c>
      <c r="C1124" t="s">
        <v>2060</v>
      </c>
      <c r="D1124" t="s">
        <v>970</v>
      </c>
      <c r="G1124" t="s">
        <v>32</v>
      </c>
      <c r="H1124" t="s">
        <v>59</v>
      </c>
      <c r="I1124" t="s">
        <v>207</v>
      </c>
      <c r="J1124" t="s">
        <v>91</v>
      </c>
      <c r="K1124" t="s">
        <v>2062</v>
      </c>
      <c r="L1124" t="s">
        <v>29</v>
      </c>
      <c r="M1124" s="1">
        <v>34159</v>
      </c>
      <c r="N1124">
        <v>1993</v>
      </c>
    </row>
    <row r="1125" spans="1:14">
      <c r="A1125" t="s">
        <v>14</v>
      </c>
      <c r="B1125" t="str">
        <f>"110908199600"</f>
        <v>110908199600</v>
      </c>
      <c r="C1125" t="s">
        <v>1602</v>
      </c>
      <c r="D1125" t="s">
        <v>70</v>
      </c>
      <c r="G1125" t="s">
        <v>17</v>
      </c>
      <c r="H1125" t="s">
        <v>25</v>
      </c>
      <c r="I1125" t="s">
        <v>207</v>
      </c>
      <c r="J1125" t="s">
        <v>91</v>
      </c>
      <c r="K1125" t="s">
        <v>92</v>
      </c>
      <c r="L1125" t="s">
        <v>48</v>
      </c>
      <c r="M1125" s="1">
        <v>35286</v>
      </c>
      <c r="N1125">
        <v>1996</v>
      </c>
    </row>
    <row r="1126" spans="1:14">
      <c r="A1126" t="s">
        <v>14</v>
      </c>
      <c r="B1126" t="str">
        <f>"111409199600"</f>
        <v>111409199600</v>
      </c>
      <c r="C1126" t="s">
        <v>2069</v>
      </c>
      <c r="D1126" t="s">
        <v>98</v>
      </c>
      <c r="G1126" t="s">
        <v>17</v>
      </c>
      <c r="H1126" t="s">
        <v>25</v>
      </c>
      <c r="I1126" t="s">
        <v>207</v>
      </c>
      <c r="J1126" t="s">
        <v>91</v>
      </c>
      <c r="K1126" t="s">
        <v>92</v>
      </c>
      <c r="L1126" t="s">
        <v>63</v>
      </c>
      <c r="M1126" s="1">
        <v>35322</v>
      </c>
      <c r="N1126">
        <v>1996</v>
      </c>
    </row>
    <row r="1127" spans="1:14">
      <c r="A1127" t="s">
        <v>14</v>
      </c>
      <c r="B1127" t="str">
        <f>"110612200102"</f>
        <v>110612200102</v>
      </c>
      <c r="C1127" t="s">
        <v>533</v>
      </c>
      <c r="D1127" t="s">
        <v>129</v>
      </c>
      <c r="G1127" t="s">
        <v>17</v>
      </c>
      <c r="H1127" t="s">
        <v>18</v>
      </c>
      <c r="I1127" t="s">
        <v>207</v>
      </c>
      <c r="J1127" t="s">
        <v>91</v>
      </c>
      <c r="K1127" t="s">
        <v>92</v>
      </c>
      <c r="L1127" t="s">
        <v>22</v>
      </c>
      <c r="M1127" s="1">
        <v>37231</v>
      </c>
      <c r="N1127">
        <v>2001</v>
      </c>
    </row>
    <row r="1128" spans="1:14">
      <c r="A1128" t="s">
        <v>14</v>
      </c>
      <c r="B1128" t="str">
        <f>"110104199902"</f>
        <v>110104199902</v>
      </c>
      <c r="C1128" t="s">
        <v>2630</v>
      </c>
      <c r="D1128" t="s">
        <v>382</v>
      </c>
      <c r="G1128" t="s">
        <v>17</v>
      </c>
      <c r="H1128" t="s">
        <v>18</v>
      </c>
      <c r="I1128" t="s">
        <v>207</v>
      </c>
      <c r="J1128" t="s">
        <v>91</v>
      </c>
      <c r="K1128" t="s">
        <v>96</v>
      </c>
      <c r="L1128" t="s">
        <v>22</v>
      </c>
      <c r="M1128" s="1">
        <v>36251</v>
      </c>
      <c r="N1128">
        <v>1999</v>
      </c>
    </row>
    <row r="1129" spans="1:14">
      <c r="A1129" t="s">
        <v>14</v>
      </c>
      <c r="B1129" t="str">
        <f>"111606200100"</f>
        <v>111606200100</v>
      </c>
      <c r="C1129" t="s">
        <v>2640</v>
      </c>
      <c r="D1129" t="s">
        <v>129</v>
      </c>
      <c r="G1129" t="s">
        <v>17</v>
      </c>
      <c r="H1129" t="s">
        <v>18</v>
      </c>
      <c r="I1129" t="s">
        <v>207</v>
      </c>
      <c r="J1129" t="s">
        <v>91</v>
      </c>
      <c r="K1129" t="s">
        <v>92</v>
      </c>
      <c r="L1129" t="s">
        <v>22</v>
      </c>
      <c r="M1129" s="1">
        <v>37058</v>
      </c>
      <c r="N1129">
        <v>2001</v>
      </c>
    </row>
    <row r="1130" spans="1:14">
      <c r="A1130" t="s">
        <v>14</v>
      </c>
      <c r="B1130" t="str">
        <f>"113103200100"</f>
        <v>113103200100</v>
      </c>
      <c r="C1130" t="s">
        <v>2932</v>
      </c>
      <c r="D1130" t="s">
        <v>268</v>
      </c>
      <c r="G1130" t="s">
        <v>17</v>
      </c>
      <c r="H1130" t="s">
        <v>18</v>
      </c>
      <c r="I1130" t="s">
        <v>207</v>
      </c>
      <c r="J1130" t="s">
        <v>91</v>
      </c>
      <c r="K1130" t="s">
        <v>92</v>
      </c>
      <c r="L1130" t="s">
        <v>22</v>
      </c>
      <c r="M1130" s="1">
        <v>36981</v>
      </c>
      <c r="N1130">
        <v>2001</v>
      </c>
    </row>
    <row r="1131" spans="1:14">
      <c r="A1131" t="s">
        <v>14</v>
      </c>
      <c r="B1131" t="str">
        <f>"111505200101"</f>
        <v>111505200101</v>
      </c>
      <c r="C1131" t="s">
        <v>2938</v>
      </c>
      <c r="D1131" t="s">
        <v>120</v>
      </c>
      <c r="G1131" t="s">
        <v>17</v>
      </c>
      <c r="H1131" t="s">
        <v>18</v>
      </c>
      <c r="I1131" t="s">
        <v>207</v>
      </c>
      <c r="J1131" t="s">
        <v>91</v>
      </c>
      <c r="K1131" t="s">
        <v>92</v>
      </c>
      <c r="L1131" t="s">
        <v>22</v>
      </c>
      <c r="M1131" s="1">
        <v>37026</v>
      </c>
      <c r="N1131">
        <v>2001</v>
      </c>
    </row>
    <row r="1132" spans="1:14">
      <c r="A1132" t="s">
        <v>14</v>
      </c>
      <c r="B1132" t="str">
        <f>"111604200300"</f>
        <v>111604200300</v>
      </c>
      <c r="C1132" t="s">
        <v>459</v>
      </c>
      <c r="D1132" t="s">
        <v>129</v>
      </c>
      <c r="G1132" t="s">
        <v>17</v>
      </c>
      <c r="H1132" t="s">
        <v>51</v>
      </c>
      <c r="I1132" t="s">
        <v>207</v>
      </c>
      <c r="J1132" t="s">
        <v>91</v>
      </c>
      <c r="K1132" t="s">
        <v>461</v>
      </c>
      <c r="L1132" t="s">
        <v>22</v>
      </c>
      <c r="M1132" s="1">
        <v>37727</v>
      </c>
      <c r="N1132">
        <v>2003</v>
      </c>
    </row>
    <row r="1133" spans="1:14">
      <c r="A1133" t="s">
        <v>14</v>
      </c>
      <c r="B1133" t="str">
        <f>"111705200300"</f>
        <v>111705200300</v>
      </c>
      <c r="C1133" t="s">
        <v>781</v>
      </c>
      <c r="D1133" t="s">
        <v>782</v>
      </c>
      <c r="G1133" t="s">
        <v>17</v>
      </c>
      <c r="H1133" t="s">
        <v>51</v>
      </c>
      <c r="I1133" t="s">
        <v>207</v>
      </c>
      <c r="J1133" t="s">
        <v>91</v>
      </c>
      <c r="K1133" t="s">
        <v>92</v>
      </c>
      <c r="L1133" t="s">
        <v>63</v>
      </c>
      <c r="M1133" s="1">
        <v>37758</v>
      </c>
      <c r="N1133">
        <v>2003</v>
      </c>
    </row>
    <row r="1134" spans="1:14">
      <c r="A1134" t="s">
        <v>14</v>
      </c>
      <c r="B1134" t="str">
        <f>"110403200301"</f>
        <v>110403200301</v>
      </c>
      <c r="C1134" t="s">
        <v>1644</v>
      </c>
      <c r="D1134" t="s">
        <v>95</v>
      </c>
      <c r="G1134" t="s">
        <v>17</v>
      </c>
      <c r="H1134" t="s">
        <v>51</v>
      </c>
      <c r="I1134" t="s">
        <v>207</v>
      </c>
      <c r="J1134" t="s">
        <v>91</v>
      </c>
      <c r="K1134" t="s">
        <v>92</v>
      </c>
      <c r="L1134" t="s">
        <v>63</v>
      </c>
      <c r="M1134" s="1">
        <v>37684</v>
      </c>
      <c r="N1134">
        <v>2003</v>
      </c>
    </row>
    <row r="1135" spans="1:14">
      <c r="A1135" t="s">
        <v>14</v>
      </c>
      <c r="B1135" t="str">
        <f>"111603200301"</f>
        <v>111603200301</v>
      </c>
      <c r="C1135" t="s">
        <v>2142</v>
      </c>
      <c r="D1135" t="s">
        <v>98</v>
      </c>
      <c r="G1135" t="s">
        <v>17</v>
      </c>
      <c r="H1135" t="s">
        <v>51</v>
      </c>
      <c r="I1135" t="s">
        <v>207</v>
      </c>
      <c r="J1135" t="s">
        <v>91</v>
      </c>
      <c r="K1135" t="s">
        <v>461</v>
      </c>
      <c r="L1135" t="s">
        <v>22</v>
      </c>
      <c r="M1135" s="1">
        <v>37696</v>
      </c>
      <c r="N1135">
        <v>2003</v>
      </c>
    </row>
    <row r="1136" spans="1:14">
      <c r="A1136" t="s">
        <v>14</v>
      </c>
      <c r="B1136" t="str">
        <f>"113009200300"</f>
        <v>113009200300</v>
      </c>
      <c r="C1136" t="s">
        <v>2624</v>
      </c>
      <c r="D1136" t="s">
        <v>136</v>
      </c>
      <c r="G1136" t="s">
        <v>17</v>
      </c>
      <c r="H1136" t="s">
        <v>51</v>
      </c>
      <c r="I1136" t="s">
        <v>207</v>
      </c>
      <c r="J1136" t="s">
        <v>91</v>
      </c>
      <c r="K1136" t="s">
        <v>92</v>
      </c>
      <c r="L1136" t="s">
        <v>22</v>
      </c>
      <c r="M1136" s="1">
        <v>37894</v>
      </c>
      <c r="N1136">
        <v>2003</v>
      </c>
    </row>
    <row r="1137" spans="1:14">
      <c r="A1137" t="s">
        <v>14</v>
      </c>
      <c r="B1137" t="str">
        <f>"110907200200"</f>
        <v>110907200200</v>
      </c>
      <c r="C1137" t="s">
        <v>1246</v>
      </c>
      <c r="D1137" t="s">
        <v>268</v>
      </c>
      <c r="G1137" t="s">
        <v>17</v>
      </c>
      <c r="H1137" t="s">
        <v>51</v>
      </c>
      <c r="I1137" t="s">
        <v>1247</v>
      </c>
      <c r="J1137" t="s">
        <v>91</v>
      </c>
      <c r="K1137" t="s">
        <v>96</v>
      </c>
      <c r="L1137" t="s">
        <v>63</v>
      </c>
      <c r="M1137" s="1">
        <v>37446</v>
      </c>
      <c r="N1137">
        <v>2002</v>
      </c>
    </row>
    <row r="1138" spans="1:14">
      <c r="A1138" t="s">
        <v>14</v>
      </c>
      <c r="B1138" t="str">
        <f>"120410200100"</f>
        <v>120410200100</v>
      </c>
      <c r="C1138" t="s">
        <v>1348</v>
      </c>
      <c r="D1138" t="s">
        <v>310</v>
      </c>
      <c r="G1138" t="s">
        <v>32</v>
      </c>
      <c r="H1138" t="s">
        <v>44</v>
      </c>
      <c r="I1138" t="s">
        <v>1349</v>
      </c>
      <c r="J1138" t="s">
        <v>91</v>
      </c>
      <c r="K1138" t="s">
        <v>96</v>
      </c>
      <c r="L1138" t="s">
        <v>48</v>
      </c>
      <c r="M1138" s="1">
        <v>37168</v>
      </c>
      <c r="N1138">
        <v>2001</v>
      </c>
    </row>
    <row r="1139" spans="1:14">
      <c r="A1139" t="s">
        <v>14</v>
      </c>
      <c r="B1139" t="str">
        <f>"120803200001"</f>
        <v>120803200001</v>
      </c>
      <c r="C1139" t="s">
        <v>1577</v>
      </c>
      <c r="D1139" t="s">
        <v>194</v>
      </c>
      <c r="G1139" t="s">
        <v>32</v>
      </c>
      <c r="H1139" t="s">
        <v>44</v>
      </c>
      <c r="I1139" t="s">
        <v>1349</v>
      </c>
      <c r="J1139" t="s">
        <v>91</v>
      </c>
      <c r="K1139" t="s">
        <v>96</v>
      </c>
      <c r="L1139" t="s">
        <v>63</v>
      </c>
      <c r="M1139" s="1">
        <v>36593</v>
      </c>
      <c r="N1139">
        <v>2000</v>
      </c>
    </row>
    <row r="1140" spans="1:14">
      <c r="A1140" t="s">
        <v>14</v>
      </c>
      <c r="B1140" t="str">
        <f>"111108198900"</f>
        <v>111108198900</v>
      </c>
      <c r="C1140" t="s">
        <v>1746</v>
      </c>
      <c r="D1140" t="s">
        <v>50</v>
      </c>
      <c r="G1140" t="s">
        <v>17</v>
      </c>
      <c r="H1140" t="s">
        <v>25</v>
      </c>
      <c r="I1140" t="s">
        <v>1349</v>
      </c>
      <c r="J1140" t="s">
        <v>91</v>
      </c>
      <c r="K1140" t="s">
        <v>92</v>
      </c>
      <c r="L1140" t="s">
        <v>48</v>
      </c>
      <c r="M1140" s="1">
        <v>32731</v>
      </c>
      <c r="N1140">
        <v>1989</v>
      </c>
    </row>
    <row r="1141" spans="1:14">
      <c r="A1141" t="s">
        <v>14</v>
      </c>
      <c r="B1141" t="str">
        <f>"110305199801"</f>
        <v>110305199801</v>
      </c>
      <c r="C1141" t="s">
        <v>2752</v>
      </c>
      <c r="D1141" t="s">
        <v>209</v>
      </c>
      <c r="G1141" t="s">
        <v>17</v>
      </c>
      <c r="H1141" t="s">
        <v>25</v>
      </c>
      <c r="I1141" t="s">
        <v>1349</v>
      </c>
      <c r="J1141" t="s">
        <v>91</v>
      </c>
      <c r="K1141" t="s">
        <v>96</v>
      </c>
      <c r="L1141" t="s">
        <v>63</v>
      </c>
      <c r="M1141" s="1">
        <v>35918</v>
      </c>
      <c r="N1141">
        <v>1998</v>
      </c>
    </row>
    <row r="1142" spans="1:14">
      <c r="A1142" t="s">
        <v>14</v>
      </c>
      <c r="B1142" t="str">
        <f>"121705200600"</f>
        <v>121705200600</v>
      </c>
      <c r="C1142" t="s">
        <v>2514</v>
      </c>
      <c r="D1142" t="s">
        <v>205</v>
      </c>
      <c r="G1142" t="s">
        <v>32</v>
      </c>
      <c r="H1142" t="s">
        <v>2515</v>
      </c>
      <c r="I1142" t="s">
        <v>34</v>
      </c>
      <c r="J1142" t="s">
        <v>35</v>
      </c>
      <c r="K1142" t="s">
        <v>36</v>
      </c>
      <c r="M1142" s="1">
        <v>38854</v>
      </c>
      <c r="N1142">
        <v>2006</v>
      </c>
    </row>
    <row r="1143" spans="1:14">
      <c r="A1143" t="s">
        <v>14</v>
      </c>
      <c r="B1143" t="str">
        <f>"120807200501"</f>
        <v>120807200501</v>
      </c>
      <c r="C1143" t="s">
        <v>30</v>
      </c>
      <c r="D1143" t="s">
        <v>31</v>
      </c>
      <c r="G1143" t="s">
        <v>32</v>
      </c>
      <c r="H1143" t="s">
        <v>33</v>
      </c>
      <c r="I1143" t="s">
        <v>34</v>
      </c>
      <c r="J1143" t="s">
        <v>35</v>
      </c>
      <c r="K1143" t="s">
        <v>36</v>
      </c>
      <c r="M1143" s="1">
        <v>38541</v>
      </c>
      <c r="N1143">
        <v>2005</v>
      </c>
    </row>
    <row r="1144" spans="1:14">
      <c r="A1144" t="s">
        <v>14</v>
      </c>
      <c r="B1144" t="str">
        <f>"120410200400"</f>
        <v>120410200400</v>
      </c>
      <c r="C1144" t="s">
        <v>498</v>
      </c>
      <c r="D1144" t="s">
        <v>143</v>
      </c>
      <c r="G1144" t="s">
        <v>32</v>
      </c>
      <c r="H1144" t="s">
        <v>33</v>
      </c>
      <c r="I1144" t="s">
        <v>34</v>
      </c>
      <c r="J1144" t="s">
        <v>35</v>
      </c>
      <c r="K1144" t="s">
        <v>36</v>
      </c>
      <c r="L1144" t="s">
        <v>22</v>
      </c>
      <c r="M1144" s="1">
        <v>38264</v>
      </c>
      <c r="N1144">
        <v>2004</v>
      </c>
    </row>
    <row r="1145" spans="1:14">
      <c r="A1145" t="s">
        <v>14</v>
      </c>
      <c r="B1145" t="str">
        <f>"122310200500"</f>
        <v>122310200500</v>
      </c>
      <c r="C1145" t="s">
        <v>1446</v>
      </c>
      <c r="D1145" t="s">
        <v>1447</v>
      </c>
      <c r="G1145" t="s">
        <v>32</v>
      </c>
      <c r="H1145" t="s">
        <v>33</v>
      </c>
      <c r="I1145" t="s">
        <v>34</v>
      </c>
      <c r="J1145" t="s">
        <v>35</v>
      </c>
      <c r="K1145" t="s">
        <v>36</v>
      </c>
      <c r="M1145" s="1">
        <v>38648</v>
      </c>
      <c r="N1145">
        <v>2005</v>
      </c>
    </row>
    <row r="1146" spans="1:14">
      <c r="A1146" t="s">
        <v>14</v>
      </c>
      <c r="B1146" t="str">
        <f>"121503200500"</f>
        <v>121503200500</v>
      </c>
      <c r="C1146" t="s">
        <v>2045</v>
      </c>
      <c r="D1146" t="s">
        <v>353</v>
      </c>
      <c r="G1146" t="s">
        <v>32</v>
      </c>
      <c r="H1146" t="s">
        <v>33</v>
      </c>
      <c r="I1146" t="s">
        <v>34</v>
      </c>
      <c r="J1146" t="s">
        <v>35</v>
      </c>
      <c r="K1146" t="s">
        <v>36</v>
      </c>
      <c r="L1146" t="s">
        <v>22</v>
      </c>
      <c r="M1146" s="1">
        <v>38426</v>
      </c>
      <c r="N1146">
        <v>2005</v>
      </c>
    </row>
    <row r="1147" spans="1:14">
      <c r="A1147" t="s">
        <v>14</v>
      </c>
      <c r="B1147" t="str">
        <f>"121210200500"</f>
        <v>121210200500</v>
      </c>
      <c r="C1147" t="s">
        <v>2333</v>
      </c>
      <c r="D1147" t="s">
        <v>203</v>
      </c>
      <c r="G1147" t="s">
        <v>32</v>
      </c>
      <c r="H1147" t="s">
        <v>33</v>
      </c>
      <c r="I1147" t="s">
        <v>34</v>
      </c>
      <c r="J1147" t="s">
        <v>35</v>
      </c>
      <c r="K1147" t="s">
        <v>36</v>
      </c>
      <c r="L1147" t="s">
        <v>22</v>
      </c>
      <c r="M1147" s="1">
        <v>38637</v>
      </c>
      <c r="N1147">
        <v>2005</v>
      </c>
    </row>
    <row r="1148" spans="1:14">
      <c r="A1148" t="s">
        <v>14</v>
      </c>
      <c r="B1148" t="str">
        <f>"121403200400"</f>
        <v>121403200400</v>
      </c>
      <c r="C1148" t="s">
        <v>2663</v>
      </c>
      <c r="D1148" t="s">
        <v>194</v>
      </c>
      <c r="G1148" t="s">
        <v>32</v>
      </c>
      <c r="H1148" t="s">
        <v>33</v>
      </c>
      <c r="I1148" t="s">
        <v>34</v>
      </c>
      <c r="J1148" t="s">
        <v>35</v>
      </c>
      <c r="K1148" t="s">
        <v>36</v>
      </c>
      <c r="M1148" s="1">
        <v>38060</v>
      </c>
      <c r="N1148">
        <v>2004</v>
      </c>
    </row>
    <row r="1149" spans="1:14">
      <c r="A1149" t="s">
        <v>14</v>
      </c>
      <c r="B1149" t="str">
        <f>"121905200500"</f>
        <v>121905200500</v>
      </c>
      <c r="C1149" t="s">
        <v>2759</v>
      </c>
      <c r="D1149" t="s">
        <v>249</v>
      </c>
      <c r="G1149" t="s">
        <v>32</v>
      </c>
      <c r="H1149" t="s">
        <v>33</v>
      </c>
      <c r="I1149" t="s">
        <v>34</v>
      </c>
      <c r="J1149" t="s">
        <v>35</v>
      </c>
      <c r="K1149" t="s">
        <v>36</v>
      </c>
      <c r="M1149" s="1">
        <v>38491</v>
      </c>
      <c r="N1149">
        <v>2005</v>
      </c>
    </row>
    <row r="1150" spans="1:14">
      <c r="A1150" t="s">
        <v>14</v>
      </c>
      <c r="B1150" t="str">
        <f>"121011200501"</f>
        <v>121011200501</v>
      </c>
      <c r="C1150" t="s">
        <v>2798</v>
      </c>
      <c r="D1150" t="s">
        <v>723</v>
      </c>
      <c r="G1150" t="s">
        <v>32</v>
      </c>
      <c r="H1150" t="s">
        <v>33</v>
      </c>
      <c r="I1150" t="s">
        <v>34</v>
      </c>
      <c r="J1150" t="s">
        <v>35</v>
      </c>
      <c r="K1150" t="s">
        <v>36</v>
      </c>
      <c r="L1150" t="s">
        <v>22</v>
      </c>
      <c r="M1150" s="1">
        <v>38666</v>
      </c>
      <c r="N1150">
        <v>2005</v>
      </c>
    </row>
    <row r="1151" spans="1:14">
      <c r="A1151" t="s">
        <v>14</v>
      </c>
      <c r="B1151" t="str">
        <f>"122804200400"</f>
        <v>122804200400</v>
      </c>
      <c r="C1151" t="s">
        <v>2864</v>
      </c>
      <c r="D1151" t="s">
        <v>249</v>
      </c>
      <c r="G1151" t="s">
        <v>32</v>
      </c>
      <c r="H1151" t="s">
        <v>33</v>
      </c>
      <c r="I1151" t="s">
        <v>34</v>
      </c>
      <c r="J1151" t="s">
        <v>35</v>
      </c>
      <c r="K1151" t="s">
        <v>36</v>
      </c>
      <c r="L1151" t="s">
        <v>22</v>
      </c>
      <c r="M1151" s="1">
        <v>38105</v>
      </c>
      <c r="N1151">
        <v>2004</v>
      </c>
    </row>
    <row r="1152" spans="1:14">
      <c r="A1152" t="s">
        <v>14</v>
      </c>
      <c r="B1152" t="str">
        <f>"120106200200"</f>
        <v>120106200200</v>
      </c>
      <c r="C1152" t="s">
        <v>262</v>
      </c>
      <c r="D1152" t="s">
        <v>263</v>
      </c>
      <c r="G1152" t="s">
        <v>32</v>
      </c>
      <c r="H1152" t="s">
        <v>65</v>
      </c>
      <c r="I1152" t="s">
        <v>34</v>
      </c>
      <c r="J1152" t="s">
        <v>35</v>
      </c>
      <c r="K1152" t="s">
        <v>264</v>
      </c>
      <c r="M1152" s="1">
        <v>37408</v>
      </c>
      <c r="N1152">
        <v>2002</v>
      </c>
    </row>
    <row r="1153" spans="1:14">
      <c r="A1153" t="s">
        <v>14</v>
      </c>
      <c r="B1153" t="str">
        <f>"122506200201"</f>
        <v>122506200201</v>
      </c>
      <c r="C1153" t="s">
        <v>1504</v>
      </c>
      <c r="D1153" t="s">
        <v>279</v>
      </c>
      <c r="G1153" t="s">
        <v>32</v>
      </c>
      <c r="H1153" t="s">
        <v>65</v>
      </c>
      <c r="I1153" t="s">
        <v>34</v>
      </c>
      <c r="J1153" t="s">
        <v>35</v>
      </c>
      <c r="K1153" t="s">
        <v>463</v>
      </c>
      <c r="M1153" s="1">
        <v>37432</v>
      </c>
      <c r="N1153">
        <v>2002</v>
      </c>
    </row>
    <row r="1154" spans="1:14">
      <c r="A1154" t="s">
        <v>14</v>
      </c>
      <c r="B1154" t="str">
        <f>"121807200300"</f>
        <v>121807200300</v>
      </c>
      <c r="C1154" t="s">
        <v>2039</v>
      </c>
      <c r="D1154" t="s">
        <v>238</v>
      </c>
      <c r="G1154" t="s">
        <v>32</v>
      </c>
      <c r="H1154" t="s">
        <v>65</v>
      </c>
      <c r="I1154" t="s">
        <v>34</v>
      </c>
      <c r="J1154" t="s">
        <v>35</v>
      </c>
      <c r="K1154" t="s">
        <v>1758</v>
      </c>
      <c r="L1154" t="s">
        <v>22</v>
      </c>
      <c r="M1154" s="1">
        <v>37820</v>
      </c>
      <c r="N1154">
        <v>2003</v>
      </c>
    </row>
    <row r="1155" spans="1:14">
      <c r="A1155" t="s">
        <v>14</v>
      </c>
      <c r="B1155" t="str">
        <f>"121401200301"</f>
        <v>121401200301</v>
      </c>
      <c r="C1155" t="s">
        <v>2119</v>
      </c>
      <c r="D1155" t="s">
        <v>232</v>
      </c>
      <c r="G1155" t="s">
        <v>32</v>
      </c>
      <c r="H1155" t="s">
        <v>65</v>
      </c>
      <c r="I1155" t="s">
        <v>34</v>
      </c>
      <c r="J1155" t="s">
        <v>35</v>
      </c>
      <c r="K1155" t="s">
        <v>463</v>
      </c>
      <c r="L1155" t="s">
        <v>22</v>
      </c>
      <c r="M1155" s="1">
        <v>37635</v>
      </c>
      <c r="N1155">
        <v>2003</v>
      </c>
    </row>
    <row r="1156" spans="1:14">
      <c r="A1156" t="s">
        <v>14</v>
      </c>
      <c r="B1156" t="str">
        <f>"120701200300"</f>
        <v>120701200300</v>
      </c>
      <c r="C1156" t="s">
        <v>2155</v>
      </c>
      <c r="D1156" t="s">
        <v>551</v>
      </c>
      <c r="G1156" t="s">
        <v>32</v>
      </c>
      <c r="H1156" t="s">
        <v>65</v>
      </c>
      <c r="I1156" t="s">
        <v>34</v>
      </c>
      <c r="J1156" t="s">
        <v>35</v>
      </c>
      <c r="K1156" t="s">
        <v>532</v>
      </c>
      <c r="L1156" t="s">
        <v>22</v>
      </c>
      <c r="M1156" s="1">
        <v>37628</v>
      </c>
      <c r="N1156">
        <v>2003</v>
      </c>
    </row>
    <row r="1157" spans="1:14">
      <c r="A1157" t="s">
        <v>14</v>
      </c>
      <c r="B1157" t="str">
        <f>"121402200200"</f>
        <v>121402200200</v>
      </c>
      <c r="C1157" t="s">
        <v>2218</v>
      </c>
      <c r="D1157" t="s">
        <v>1304</v>
      </c>
      <c r="G1157" t="s">
        <v>32</v>
      </c>
      <c r="H1157" t="s">
        <v>65</v>
      </c>
      <c r="I1157" t="s">
        <v>34</v>
      </c>
      <c r="J1157" t="s">
        <v>35</v>
      </c>
      <c r="K1157" t="s">
        <v>532</v>
      </c>
      <c r="M1157" s="1">
        <v>37301</v>
      </c>
      <c r="N1157">
        <v>2002</v>
      </c>
    </row>
    <row r="1158" spans="1:14">
      <c r="A1158" t="s">
        <v>14</v>
      </c>
      <c r="B1158" t="str">
        <f>"121403200300"</f>
        <v>121403200300</v>
      </c>
      <c r="C1158" t="s">
        <v>2243</v>
      </c>
      <c r="D1158" t="s">
        <v>203</v>
      </c>
      <c r="G1158" t="s">
        <v>32</v>
      </c>
      <c r="H1158" t="s">
        <v>65</v>
      </c>
      <c r="I1158" t="s">
        <v>34</v>
      </c>
      <c r="J1158" t="s">
        <v>35</v>
      </c>
      <c r="K1158" t="s">
        <v>463</v>
      </c>
      <c r="M1158" s="1">
        <v>37694</v>
      </c>
      <c r="N1158">
        <v>2003</v>
      </c>
    </row>
    <row r="1159" spans="1:14">
      <c r="A1159" t="s">
        <v>14</v>
      </c>
      <c r="B1159" t="str">
        <f>"121809200200"</f>
        <v>121809200200</v>
      </c>
      <c r="C1159" t="s">
        <v>2466</v>
      </c>
      <c r="D1159" t="s">
        <v>127</v>
      </c>
      <c r="G1159" t="s">
        <v>32</v>
      </c>
      <c r="H1159" t="s">
        <v>65</v>
      </c>
      <c r="I1159" t="s">
        <v>34</v>
      </c>
      <c r="J1159" t="s">
        <v>35</v>
      </c>
      <c r="K1159" t="s">
        <v>1800</v>
      </c>
      <c r="M1159" s="1">
        <v>37517</v>
      </c>
      <c r="N1159">
        <v>2002</v>
      </c>
    </row>
    <row r="1160" spans="1:14">
      <c r="A1160" t="s">
        <v>14</v>
      </c>
      <c r="B1160" t="str">
        <f>"121005199800"</f>
        <v>121005199800</v>
      </c>
      <c r="C1160" t="s">
        <v>1776</v>
      </c>
      <c r="D1160" t="s">
        <v>234</v>
      </c>
      <c r="G1160" t="s">
        <v>32</v>
      </c>
      <c r="H1160" t="s">
        <v>59</v>
      </c>
      <c r="I1160" t="s">
        <v>34</v>
      </c>
      <c r="J1160" t="s">
        <v>35</v>
      </c>
      <c r="K1160" t="s">
        <v>1777</v>
      </c>
      <c r="M1160" s="1">
        <v>35925</v>
      </c>
      <c r="N1160">
        <v>1998</v>
      </c>
    </row>
    <row r="1161" spans="1:14">
      <c r="A1161" t="s">
        <v>14</v>
      </c>
      <c r="B1161" t="str">
        <f>"120702199600"</f>
        <v>120702199600</v>
      </c>
      <c r="C1161" t="s">
        <v>2167</v>
      </c>
      <c r="D1161" t="s">
        <v>720</v>
      </c>
      <c r="G1161" t="s">
        <v>32</v>
      </c>
      <c r="H1161" t="s">
        <v>59</v>
      </c>
      <c r="I1161" t="s">
        <v>34</v>
      </c>
      <c r="J1161" t="s">
        <v>35</v>
      </c>
      <c r="K1161" t="s">
        <v>1800</v>
      </c>
      <c r="L1161" t="s">
        <v>48</v>
      </c>
      <c r="M1161" s="1">
        <v>35102</v>
      </c>
      <c r="N1161">
        <v>1996</v>
      </c>
    </row>
    <row r="1162" spans="1:14">
      <c r="A1162" t="s">
        <v>14</v>
      </c>
      <c r="B1162" t="str">
        <f>"120301199701"</f>
        <v>120301199701</v>
      </c>
      <c r="C1162" t="s">
        <v>2585</v>
      </c>
      <c r="D1162" t="s">
        <v>127</v>
      </c>
      <c r="G1162" t="s">
        <v>32</v>
      </c>
      <c r="H1162" t="s">
        <v>59</v>
      </c>
      <c r="I1162" t="s">
        <v>34</v>
      </c>
      <c r="J1162" t="s">
        <v>35</v>
      </c>
      <c r="K1162" t="s">
        <v>463</v>
      </c>
      <c r="L1162" t="s">
        <v>63</v>
      </c>
      <c r="M1162" s="1">
        <v>35433</v>
      </c>
      <c r="N1162">
        <v>1997</v>
      </c>
    </row>
    <row r="1163" spans="1:14">
      <c r="A1163" t="s">
        <v>14</v>
      </c>
      <c r="B1163" t="str">
        <f>"120309199700"</f>
        <v>120309199700</v>
      </c>
      <c r="C1163" t="s">
        <v>2783</v>
      </c>
      <c r="D1163" t="s">
        <v>127</v>
      </c>
      <c r="G1163" t="s">
        <v>32</v>
      </c>
      <c r="H1163" t="s">
        <v>59</v>
      </c>
      <c r="I1163" t="s">
        <v>34</v>
      </c>
      <c r="J1163" t="s">
        <v>35</v>
      </c>
      <c r="K1163" t="s">
        <v>2784</v>
      </c>
      <c r="L1163" t="s">
        <v>63</v>
      </c>
      <c r="M1163" s="1">
        <v>35676</v>
      </c>
      <c r="N1163">
        <v>1997</v>
      </c>
    </row>
    <row r="1164" spans="1:14">
      <c r="A1164" t="s">
        <v>14</v>
      </c>
      <c r="B1164" t="str">
        <f>"120709199800"</f>
        <v>120709199800</v>
      </c>
      <c r="C1164" t="s">
        <v>2943</v>
      </c>
      <c r="D1164" t="s">
        <v>31</v>
      </c>
      <c r="G1164" t="s">
        <v>32</v>
      </c>
      <c r="H1164" t="s">
        <v>59</v>
      </c>
      <c r="I1164" t="s">
        <v>34</v>
      </c>
      <c r="J1164" t="s">
        <v>35</v>
      </c>
      <c r="K1164" t="s">
        <v>1777</v>
      </c>
      <c r="M1164" s="1">
        <v>36045</v>
      </c>
      <c r="N1164">
        <v>1998</v>
      </c>
    </row>
    <row r="1165" spans="1:14">
      <c r="A1165" t="s">
        <v>14</v>
      </c>
      <c r="B1165" t="str">
        <f>"121406199900"</f>
        <v>121406199900</v>
      </c>
      <c r="C1165" t="s">
        <v>523</v>
      </c>
      <c r="D1165" t="s">
        <v>127</v>
      </c>
      <c r="G1165" t="s">
        <v>32</v>
      </c>
      <c r="H1165" t="s">
        <v>44</v>
      </c>
      <c r="I1165" t="s">
        <v>34</v>
      </c>
      <c r="J1165" t="s">
        <v>35</v>
      </c>
      <c r="K1165" t="s">
        <v>264</v>
      </c>
      <c r="L1165" t="s">
        <v>22</v>
      </c>
      <c r="M1165" s="1">
        <v>36325</v>
      </c>
      <c r="N1165">
        <v>1999</v>
      </c>
    </row>
    <row r="1166" spans="1:14">
      <c r="A1166" t="s">
        <v>14</v>
      </c>
      <c r="B1166" t="str">
        <f>"122802199900"</f>
        <v>122802199900</v>
      </c>
      <c r="C1166" t="s">
        <v>552</v>
      </c>
      <c r="D1166" t="s">
        <v>184</v>
      </c>
      <c r="G1166" t="s">
        <v>32</v>
      </c>
      <c r="H1166" t="s">
        <v>44</v>
      </c>
      <c r="I1166" t="s">
        <v>34</v>
      </c>
      <c r="J1166" t="s">
        <v>35</v>
      </c>
      <c r="K1166" t="s">
        <v>264</v>
      </c>
      <c r="M1166" s="1">
        <v>36219</v>
      </c>
      <c r="N1166">
        <v>1999</v>
      </c>
    </row>
    <row r="1167" spans="1:14">
      <c r="A1167" t="s">
        <v>14</v>
      </c>
      <c r="B1167" t="str">
        <f>"122105200000"</f>
        <v>122105200000</v>
      </c>
      <c r="C1167" t="s">
        <v>930</v>
      </c>
      <c r="D1167" t="s">
        <v>64</v>
      </c>
      <c r="G1167" t="s">
        <v>32</v>
      </c>
      <c r="H1167" t="s">
        <v>44</v>
      </c>
      <c r="I1167" t="s">
        <v>34</v>
      </c>
      <c r="J1167" t="s">
        <v>35</v>
      </c>
      <c r="K1167" t="s">
        <v>463</v>
      </c>
      <c r="M1167" s="1">
        <v>36667</v>
      </c>
      <c r="N1167">
        <v>2000</v>
      </c>
    </row>
    <row r="1168" spans="1:14">
      <c r="A1168" t="s">
        <v>14</v>
      </c>
      <c r="B1168" t="str">
        <f>"122007200000"</f>
        <v>122007200000</v>
      </c>
      <c r="C1168" t="s">
        <v>1214</v>
      </c>
      <c r="D1168" t="s">
        <v>127</v>
      </c>
      <c r="G1168" t="s">
        <v>32</v>
      </c>
      <c r="H1168" t="s">
        <v>44</v>
      </c>
      <c r="I1168" t="s">
        <v>34</v>
      </c>
      <c r="J1168" t="s">
        <v>35</v>
      </c>
      <c r="K1168" t="s">
        <v>1215</v>
      </c>
      <c r="M1168" s="1">
        <v>36727</v>
      </c>
      <c r="N1168">
        <v>2000</v>
      </c>
    </row>
    <row r="1169" spans="1:14">
      <c r="A1169" t="s">
        <v>14</v>
      </c>
      <c r="B1169" t="str">
        <f>"122007200001"</f>
        <v>122007200001</v>
      </c>
      <c r="C1169" t="s">
        <v>1214</v>
      </c>
      <c r="D1169" t="s">
        <v>58</v>
      </c>
      <c r="G1169" t="s">
        <v>32</v>
      </c>
      <c r="H1169" t="s">
        <v>44</v>
      </c>
      <c r="I1169" t="s">
        <v>34</v>
      </c>
      <c r="J1169" t="s">
        <v>35</v>
      </c>
      <c r="K1169" t="s">
        <v>1215</v>
      </c>
      <c r="M1169" s="1">
        <v>36727</v>
      </c>
      <c r="N1169">
        <v>2000</v>
      </c>
    </row>
    <row r="1170" spans="1:14">
      <c r="A1170" t="s">
        <v>14</v>
      </c>
      <c r="B1170" t="str">
        <f>"122007199900"</f>
        <v>122007199900</v>
      </c>
      <c r="C1170" t="s">
        <v>1632</v>
      </c>
      <c r="D1170" t="s">
        <v>235</v>
      </c>
      <c r="G1170" t="s">
        <v>32</v>
      </c>
      <c r="H1170" t="s">
        <v>44</v>
      </c>
      <c r="I1170" t="s">
        <v>34</v>
      </c>
      <c r="J1170" t="s">
        <v>35</v>
      </c>
      <c r="K1170" t="s">
        <v>463</v>
      </c>
      <c r="M1170" s="1">
        <v>36361</v>
      </c>
      <c r="N1170">
        <v>1999</v>
      </c>
    </row>
    <row r="1171" spans="1:14">
      <c r="A1171" t="s">
        <v>14</v>
      </c>
      <c r="B1171" t="str">
        <f>"122912200000"</f>
        <v>122912200000</v>
      </c>
      <c r="C1171" t="s">
        <v>1704</v>
      </c>
      <c r="D1171" t="s">
        <v>235</v>
      </c>
      <c r="G1171" t="s">
        <v>32</v>
      </c>
      <c r="H1171" t="s">
        <v>44</v>
      </c>
      <c r="I1171" t="s">
        <v>34</v>
      </c>
      <c r="J1171" t="s">
        <v>35</v>
      </c>
      <c r="K1171" t="s">
        <v>463</v>
      </c>
      <c r="M1171" s="1">
        <v>36889</v>
      </c>
      <c r="N1171">
        <v>2000</v>
      </c>
    </row>
    <row r="1172" spans="1:14">
      <c r="A1172" t="s">
        <v>14</v>
      </c>
      <c r="B1172" t="str">
        <f>"122006200000"</f>
        <v>122006200000</v>
      </c>
      <c r="C1172" t="s">
        <v>1900</v>
      </c>
      <c r="D1172" t="s">
        <v>58</v>
      </c>
      <c r="G1172" t="s">
        <v>32</v>
      </c>
      <c r="H1172" t="s">
        <v>44</v>
      </c>
      <c r="I1172" t="s">
        <v>34</v>
      </c>
      <c r="J1172" t="s">
        <v>35</v>
      </c>
      <c r="K1172" t="s">
        <v>264</v>
      </c>
      <c r="M1172" s="1">
        <v>36697</v>
      </c>
      <c r="N1172">
        <v>2000</v>
      </c>
    </row>
    <row r="1173" spans="1:14">
      <c r="A1173" t="s">
        <v>14</v>
      </c>
      <c r="B1173" t="str">
        <f>"122406199900"</f>
        <v>122406199900</v>
      </c>
      <c r="C1173" t="s">
        <v>2155</v>
      </c>
      <c r="D1173" t="s">
        <v>235</v>
      </c>
      <c r="G1173" t="s">
        <v>32</v>
      </c>
      <c r="H1173" t="s">
        <v>44</v>
      </c>
      <c r="I1173" t="s">
        <v>34</v>
      </c>
      <c r="J1173" t="s">
        <v>35</v>
      </c>
      <c r="K1173" t="s">
        <v>532</v>
      </c>
      <c r="L1173" t="s">
        <v>22</v>
      </c>
      <c r="M1173" s="1">
        <v>36335</v>
      </c>
      <c r="N1173">
        <v>1999</v>
      </c>
    </row>
    <row r="1174" spans="1:14">
      <c r="A1174" t="s">
        <v>14</v>
      </c>
      <c r="B1174" t="str">
        <f>"121501199801"</f>
        <v>121501199801</v>
      </c>
      <c r="C1174" t="s">
        <v>2664</v>
      </c>
      <c r="D1174" t="s">
        <v>178</v>
      </c>
      <c r="G1174" t="s">
        <v>32</v>
      </c>
      <c r="H1174" t="s">
        <v>44</v>
      </c>
      <c r="I1174" t="s">
        <v>34</v>
      </c>
      <c r="J1174" t="s">
        <v>35</v>
      </c>
      <c r="K1174" t="s">
        <v>1777</v>
      </c>
      <c r="L1174" t="s">
        <v>22</v>
      </c>
      <c r="M1174" s="1">
        <v>36175</v>
      </c>
      <c r="N1174">
        <v>1999</v>
      </c>
    </row>
    <row r="1175" spans="1:14">
      <c r="A1175" t="s">
        <v>14</v>
      </c>
      <c r="B1175" t="str">
        <f>"120403200100"</f>
        <v>120403200100</v>
      </c>
      <c r="C1175" t="s">
        <v>2743</v>
      </c>
      <c r="D1175" t="s">
        <v>184</v>
      </c>
      <c r="G1175" t="s">
        <v>32</v>
      </c>
      <c r="H1175" t="s">
        <v>44</v>
      </c>
      <c r="I1175" t="s">
        <v>34</v>
      </c>
      <c r="J1175" t="s">
        <v>35</v>
      </c>
      <c r="K1175" t="s">
        <v>532</v>
      </c>
      <c r="M1175" s="1">
        <v>36954</v>
      </c>
      <c r="N1175">
        <v>2001</v>
      </c>
    </row>
    <row r="1176" spans="1:14">
      <c r="A1176" t="s">
        <v>14</v>
      </c>
      <c r="B1176" t="str">
        <f>"111002199400"</f>
        <v>111002199400</v>
      </c>
      <c r="C1176" t="s">
        <v>1799</v>
      </c>
      <c r="D1176" t="s">
        <v>181</v>
      </c>
      <c r="G1176" t="s">
        <v>17</v>
      </c>
      <c r="H1176" t="s">
        <v>25</v>
      </c>
      <c r="I1176" t="s">
        <v>34</v>
      </c>
      <c r="J1176" t="s">
        <v>35</v>
      </c>
      <c r="K1176" t="s">
        <v>1800</v>
      </c>
      <c r="L1176" t="s">
        <v>63</v>
      </c>
      <c r="M1176" s="1">
        <v>34375</v>
      </c>
      <c r="N1176">
        <v>1994</v>
      </c>
    </row>
    <row r="1177" spans="1:14">
      <c r="A1177" t="s">
        <v>14</v>
      </c>
      <c r="B1177" t="str">
        <f>"111909199800"</f>
        <v>111909199800</v>
      </c>
      <c r="C1177" t="s">
        <v>1884</v>
      </c>
      <c r="D1177" t="s">
        <v>70</v>
      </c>
      <c r="G1177" t="s">
        <v>17</v>
      </c>
      <c r="H1177" t="s">
        <v>25</v>
      </c>
      <c r="I1177" t="s">
        <v>34</v>
      </c>
      <c r="J1177" t="s">
        <v>35</v>
      </c>
      <c r="K1177" t="s">
        <v>463</v>
      </c>
      <c r="M1177" s="1">
        <v>36057</v>
      </c>
      <c r="N1177">
        <v>1998</v>
      </c>
    </row>
    <row r="1178" spans="1:14">
      <c r="A1178" t="s">
        <v>14</v>
      </c>
      <c r="B1178" t="str">
        <f>"111605199401"</f>
        <v>111605199401</v>
      </c>
      <c r="C1178" t="s">
        <v>2691</v>
      </c>
      <c r="D1178" t="s">
        <v>259</v>
      </c>
      <c r="G1178" t="s">
        <v>17</v>
      </c>
      <c r="H1178" t="s">
        <v>25</v>
      </c>
      <c r="I1178" t="s">
        <v>34</v>
      </c>
      <c r="J1178" t="s">
        <v>35</v>
      </c>
      <c r="K1178" t="s">
        <v>1800</v>
      </c>
      <c r="L1178" t="s">
        <v>48</v>
      </c>
      <c r="M1178" s="1">
        <v>34470</v>
      </c>
      <c r="N1178">
        <v>1994</v>
      </c>
    </row>
    <row r="1179" spans="1:14">
      <c r="A1179" t="s">
        <v>14</v>
      </c>
      <c r="B1179" t="str">
        <f>"112307199700"</f>
        <v>112307199700</v>
      </c>
      <c r="C1179" t="s">
        <v>2943</v>
      </c>
      <c r="D1179" t="s">
        <v>53</v>
      </c>
      <c r="G1179" t="s">
        <v>17</v>
      </c>
      <c r="H1179" t="s">
        <v>25</v>
      </c>
      <c r="I1179" t="s">
        <v>34</v>
      </c>
      <c r="J1179" t="s">
        <v>35</v>
      </c>
      <c r="K1179" t="s">
        <v>1777</v>
      </c>
      <c r="M1179" s="1">
        <v>35634</v>
      </c>
      <c r="N1179">
        <v>1997</v>
      </c>
    </row>
    <row r="1180" spans="1:14">
      <c r="A1180" t="s">
        <v>14</v>
      </c>
      <c r="B1180" t="str">
        <f>"111205200100"</f>
        <v>111205200100</v>
      </c>
      <c r="C1180" t="s">
        <v>585</v>
      </c>
      <c r="D1180" t="s">
        <v>98</v>
      </c>
      <c r="G1180" t="s">
        <v>17</v>
      </c>
      <c r="H1180" t="s">
        <v>18</v>
      </c>
      <c r="I1180" t="s">
        <v>34</v>
      </c>
      <c r="J1180" t="s">
        <v>35</v>
      </c>
      <c r="K1180" t="s">
        <v>532</v>
      </c>
      <c r="M1180" s="1">
        <v>37023</v>
      </c>
      <c r="N1180">
        <v>2001</v>
      </c>
    </row>
    <row r="1181" spans="1:14">
      <c r="A1181" t="s">
        <v>14</v>
      </c>
      <c r="B1181" t="str">
        <f>"112302200001"</f>
        <v>112302200001</v>
      </c>
      <c r="C1181" t="s">
        <v>1136</v>
      </c>
      <c r="D1181" t="s">
        <v>373</v>
      </c>
      <c r="G1181" t="s">
        <v>17</v>
      </c>
      <c r="H1181" t="s">
        <v>18</v>
      </c>
      <c r="I1181" t="s">
        <v>34</v>
      </c>
      <c r="J1181" t="s">
        <v>35</v>
      </c>
      <c r="K1181" t="s">
        <v>463</v>
      </c>
      <c r="M1181" s="1">
        <v>36579</v>
      </c>
      <c r="N1181">
        <v>2000</v>
      </c>
    </row>
    <row r="1182" spans="1:14">
      <c r="A1182" t="s">
        <v>14</v>
      </c>
      <c r="B1182" t="str">
        <f>"112101200001"</f>
        <v>112101200001</v>
      </c>
      <c r="C1182" t="s">
        <v>1187</v>
      </c>
      <c r="D1182" t="s">
        <v>115</v>
      </c>
      <c r="G1182" t="s">
        <v>17</v>
      </c>
      <c r="H1182" t="s">
        <v>18</v>
      </c>
      <c r="I1182" t="s">
        <v>34</v>
      </c>
      <c r="J1182" t="s">
        <v>35</v>
      </c>
      <c r="K1182" t="s">
        <v>36</v>
      </c>
      <c r="L1182" t="s">
        <v>63</v>
      </c>
      <c r="M1182" s="1">
        <v>36546</v>
      </c>
      <c r="N1182">
        <v>2000</v>
      </c>
    </row>
    <row r="1183" spans="1:14">
      <c r="A1183" t="s">
        <v>14</v>
      </c>
      <c r="B1183" t="str">
        <f>"112604200000"</f>
        <v>112604200000</v>
      </c>
      <c r="C1183" t="s">
        <v>1424</v>
      </c>
      <c r="D1183" t="s">
        <v>886</v>
      </c>
      <c r="G1183" t="s">
        <v>17</v>
      </c>
      <c r="H1183" t="s">
        <v>18</v>
      </c>
      <c r="I1183" t="s">
        <v>34</v>
      </c>
      <c r="J1183" t="s">
        <v>35</v>
      </c>
      <c r="K1183" t="s">
        <v>463</v>
      </c>
      <c r="M1183" s="1">
        <v>36642</v>
      </c>
      <c r="N1183">
        <v>2000</v>
      </c>
    </row>
    <row r="1184" spans="1:14">
      <c r="A1184" t="s">
        <v>14</v>
      </c>
      <c r="B1184" t="str">
        <f>"110706199900"</f>
        <v>110706199900</v>
      </c>
      <c r="C1184" t="s">
        <v>1439</v>
      </c>
      <c r="D1184" t="s">
        <v>50</v>
      </c>
      <c r="G1184" t="s">
        <v>17</v>
      </c>
      <c r="H1184" t="s">
        <v>18</v>
      </c>
      <c r="I1184" t="s">
        <v>34</v>
      </c>
      <c r="J1184" t="s">
        <v>35</v>
      </c>
      <c r="K1184" t="s">
        <v>463</v>
      </c>
      <c r="M1184" s="1">
        <v>36318</v>
      </c>
      <c r="N1184">
        <v>1999</v>
      </c>
    </row>
    <row r="1185" spans="1:14">
      <c r="A1185" t="s">
        <v>14</v>
      </c>
      <c r="B1185" t="str">
        <f>"111407200100"</f>
        <v>111407200100</v>
      </c>
      <c r="C1185" t="s">
        <v>1697</v>
      </c>
      <c r="D1185" t="s">
        <v>283</v>
      </c>
      <c r="G1185" t="s">
        <v>17</v>
      </c>
      <c r="H1185" t="s">
        <v>18</v>
      </c>
      <c r="I1185" t="s">
        <v>34</v>
      </c>
      <c r="J1185" t="s">
        <v>35</v>
      </c>
      <c r="K1185" t="s">
        <v>264</v>
      </c>
      <c r="M1185" s="1">
        <v>37086</v>
      </c>
      <c r="N1185">
        <v>2001</v>
      </c>
    </row>
    <row r="1186" spans="1:14">
      <c r="A1186" t="s">
        <v>14</v>
      </c>
      <c r="B1186" t="str">
        <f>"112712199900"</f>
        <v>112712199900</v>
      </c>
      <c r="C1186" t="s">
        <v>1806</v>
      </c>
      <c r="D1186" t="s">
        <v>113</v>
      </c>
      <c r="G1186" t="s">
        <v>17</v>
      </c>
      <c r="H1186" t="s">
        <v>18</v>
      </c>
      <c r="I1186" t="s">
        <v>34</v>
      </c>
      <c r="J1186" t="s">
        <v>35</v>
      </c>
      <c r="K1186" t="s">
        <v>463</v>
      </c>
      <c r="M1186" s="1">
        <v>36521</v>
      </c>
      <c r="N1186">
        <v>1999</v>
      </c>
    </row>
    <row r="1187" spans="1:14">
      <c r="A1187" t="s">
        <v>14</v>
      </c>
      <c r="B1187" t="str">
        <f>"111307200101"</f>
        <v>111307200101</v>
      </c>
      <c r="C1187" t="s">
        <v>2057</v>
      </c>
      <c r="D1187" t="s">
        <v>1103</v>
      </c>
      <c r="G1187" t="s">
        <v>17</v>
      </c>
      <c r="H1187" t="s">
        <v>18</v>
      </c>
      <c r="I1187" t="s">
        <v>34</v>
      </c>
      <c r="J1187" t="s">
        <v>35</v>
      </c>
      <c r="K1187" t="s">
        <v>463</v>
      </c>
      <c r="L1187" t="s">
        <v>22</v>
      </c>
      <c r="M1187" s="1">
        <v>37085</v>
      </c>
      <c r="N1187">
        <v>2001</v>
      </c>
    </row>
    <row r="1188" spans="1:14">
      <c r="A1188" t="s">
        <v>14</v>
      </c>
      <c r="B1188" t="str">
        <f>"112305200101"</f>
        <v>112305200101</v>
      </c>
      <c r="C1188" t="s">
        <v>2168</v>
      </c>
      <c r="D1188" t="s">
        <v>382</v>
      </c>
      <c r="G1188" t="s">
        <v>17</v>
      </c>
      <c r="H1188" t="s">
        <v>18</v>
      </c>
      <c r="I1188" t="s">
        <v>34</v>
      </c>
      <c r="J1188" t="s">
        <v>35</v>
      </c>
      <c r="K1188" t="s">
        <v>463</v>
      </c>
      <c r="M1188" s="1">
        <v>37034</v>
      </c>
      <c r="N1188">
        <v>2001</v>
      </c>
    </row>
    <row r="1189" spans="1:14">
      <c r="A1189" t="s">
        <v>14</v>
      </c>
      <c r="B1189" t="str">
        <f>"113004200001"</f>
        <v>113004200001</v>
      </c>
      <c r="C1189" t="s">
        <v>2195</v>
      </c>
      <c r="D1189" t="s">
        <v>531</v>
      </c>
      <c r="G1189" t="s">
        <v>17</v>
      </c>
      <c r="H1189" t="s">
        <v>18</v>
      </c>
      <c r="I1189" t="s">
        <v>34</v>
      </c>
      <c r="J1189" t="s">
        <v>35</v>
      </c>
      <c r="K1189" t="s">
        <v>463</v>
      </c>
      <c r="M1189" s="1">
        <v>36646</v>
      </c>
      <c r="N1189">
        <v>2000</v>
      </c>
    </row>
    <row r="1190" spans="1:14">
      <c r="A1190" t="s">
        <v>14</v>
      </c>
      <c r="B1190" t="str">
        <f>"111106199901"</f>
        <v>111106199901</v>
      </c>
      <c r="C1190" t="s">
        <v>2447</v>
      </c>
      <c r="D1190" t="s">
        <v>24</v>
      </c>
      <c r="G1190" t="s">
        <v>17</v>
      </c>
      <c r="H1190" t="s">
        <v>18</v>
      </c>
      <c r="I1190" t="s">
        <v>34</v>
      </c>
      <c r="J1190" t="s">
        <v>35</v>
      </c>
      <c r="K1190" t="s">
        <v>532</v>
      </c>
      <c r="L1190" t="s">
        <v>22</v>
      </c>
      <c r="M1190" s="1">
        <v>36322</v>
      </c>
      <c r="N1190">
        <v>1999</v>
      </c>
    </row>
    <row r="1191" spans="1:14">
      <c r="A1191" t="s">
        <v>14</v>
      </c>
      <c r="B1191" t="str">
        <f>"111402200100"</f>
        <v>111402200100</v>
      </c>
      <c r="C1191" t="s">
        <v>2700</v>
      </c>
      <c r="D1191" t="s">
        <v>50</v>
      </c>
      <c r="G1191" t="s">
        <v>17</v>
      </c>
      <c r="H1191" t="s">
        <v>18</v>
      </c>
      <c r="I1191" t="s">
        <v>34</v>
      </c>
      <c r="J1191" t="s">
        <v>35</v>
      </c>
      <c r="K1191" t="s">
        <v>1777</v>
      </c>
      <c r="M1191" s="1">
        <v>36936</v>
      </c>
      <c r="N1191">
        <v>2001</v>
      </c>
    </row>
    <row r="1192" spans="1:14">
      <c r="A1192" t="s">
        <v>14</v>
      </c>
      <c r="B1192" t="str">
        <f>"112907200500"</f>
        <v>112907200500</v>
      </c>
      <c r="C1192" t="s">
        <v>469</v>
      </c>
      <c r="D1192" t="s">
        <v>100</v>
      </c>
      <c r="G1192" t="s">
        <v>17</v>
      </c>
      <c r="H1192" t="s">
        <v>39</v>
      </c>
      <c r="I1192" t="s">
        <v>34</v>
      </c>
      <c r="J1192" t="s">
        <v>35</v>
      </c>
      <c r="K1192" t="s">
        <v>36</v>
      </c>
      <c r="M1192" s="1">
        <v>38562</v>
      </c>
      <c r="N1192">
        <v>2005</v>
      </c>
    </row>
    <row r="1193" spans="1:14">
      <c r="A1193" t="s">
        <v>14</v>
      </c>
      <c r="B1193" t="str">
        <f>"110604200500"</f>
        <v>110604200500</v>
      </c>
      <c r="C1193" t="s">
        <v>1405</v>
      </c>
      <c r="D1193" t="s">
        <v>221</v>
      </c>
      <c r="G1193" t="s">
        <v>17</v>
      </c>
      <c r="H1193" t="s">
        <v>39</v>
      </c>
      <c r="I1193" t="s">
        <v>34</v>
      </c>
      <c r="J1193" t="s">
        <v>35</v>
      </c>
      <c r="K1193" t="s">
        <v>36</v>
      </c>
      <c r="M1193" s="1">
        <v>38448</v>
      </c>
      <c r="N1193">
        <v>2005</v>
      </c>
    </row>
    <row r="1194" spans="1:14">
      <c r="A1194" t="s">
        <v>14</v>
      </c>
      <c r="B1194" t="str">
        <f>"110711200400"</f>
        <v>110711200400</v>
      </c>
      <c r="C1194" t="s">
        <v>1562</v>
      </c>
      <c r="D1194" t="s">
        <v>534</v>
      </c>
      <c r="G1194" t="s">
        <v>17</v>
      </c>
      <c r="H1194" t="s">
        <v>39</v>
      </c>
      <c r="I1194" t="s">
        <v>34</v>
      </c>
      <c r="J1194" t="s">
        <v>35</v>
      </c>
      <c r="K1194" t="s">
        <v>36</v>
      </c>
      <c r="L1194" t="s">
        <v>22</v>
      </c>
      <c r="M1194" s="1">
        <v>38298</v>
      </c>
      <c r="N1194">
        <v>2004</v>
      </c>
    </row>
    <row r="1195" spans="1:14">
      <c r="A1195" t="s">
        <v>14</v>
      </c>
      <c r="B1195" t="str">
        <f>"110503200400"</f>
        <v>110503200400</v>
      </c>
      <c r="C1195" t="s">
        <v>1937</v>
      </c>
      <c r="D1195" t="s">
        <v>221</v>
      </c>
      <c r="G1195" t="s">
        <v>17</v>
      </c>
      <c r="H1195" t="s">
        <v>39</v>
      </c>
      <c r="I1195" t="s">
        <v>34</v>
      </c>
      <c r="J1195" t="s">
        <v>35</v>
      </c>
      <c r="K1195" t="s">
        <v>1777</v>
      </c>
      <c r="L1195" t="s">
        <v>22</v>
      </c>
      <c r="M1195" s="1">
        <v>38051</v>
      </c>
      <c r="N1195">
        <v>2004</v>
      </c>
    </row>
    <row r="1196" spans="1:14">
      <c r="A1196" t="s">
        <v>14</v>
      </c>
      <c r="B1196" t="str">
        <f>"111305200400"</f>
        <v>111305200400</v>
      </c>
      <c r="C1196" t="s">
        <v>2054</v>
      </c>
      <c r="D1196" t="s">
        <v>782</v>
      </c>
      <c r="G1196" t="s">
        <v>17</v>
      </c>
      <c r="H1196" t="s">
        <v>39</v>
      </c>
      <c r="I1196" t="s">
        <v>34</v>
      </c>
      <c r="J1196" t="s">
        <v>35</v>
      </c>
      <c r="K1196" t="s">
        <v>36</v>
      </c>
      <c r="L1196" t="s">
        <v>22</v>
      </c>
      <c r="M1196" s="1">
        <v>38120</v>
      </c>
      <c r="N1196">
        <v>2004</v>
      </c>
    </row>
    <row r="1197" spans="1:14">
      <c r="A1197" t="s">
        <v>14</v>
      </c>
      <c r="B1197" t="str">
        <f>"111905200500"</f>
        <v>111905200500</v>
      </c>
      <c r="C1197" t="s">
        <v>2065</v>
      </c>
      <c r="D1197" t="s">
        <v>590</v>
      </c>
      <c r="G1197" t="s">
        <v>17</v>
      </c>
      <c r="H1197" t="s">
        <v>39</v>
      </c>
      <c r="I1197" t="s">
        <v>34</v>
      </c>
      <c r="J1197" t="s">
        <v>35</v>
      </c>
      <c r="K1197" t="s">
        <v>36</v>
      </c>
      <c r="M1197" s="1">
        <v>38491</v>
      </c>
      <c r="N1197">
        <v>2005</v>
      </c>
    </row>
    <row r="1198" spans="1:14">
      <c r="A1198" t="s">
        <v>14</v>
      </c>
      <c r="B1198" t="str">
        <f>"110309200500"</f>
        <v>110309200500</v>
      </c>
      <c r="C1198" t="s">
        <v>2173</v>
      </c>
      <c r="D1198" t="s">
        <v>1103</v>
      </c>
      <c r="G1198" t="s">
        <v>17</v>
      </c>
      <c r="H1198" t="s">
        <v>39</v>
      </c>
      <c r="I1198" t="s">
        <v>34</v>
      </c>
      <c r="J1198" t="s">
        <v>35</v>
      </c>
      <c r="K1198" t="s">
        <v>36</v>
      </c>
      <c r="M1198" s="1">
        <v>38598</v>
      </c>
      <c r="N1198">
        <v>2005</v>
      </c>
    </row>
    <row r="1199" spans="1:14">
      <c r="A1199" t="s">
        <v>14</v>
      </c>
      <c r="B1199" t="str">
        <f>"112403200400"</f>
        <v>112403200400</v>
      </c>
      <c r="C1199" t="s">
        <v>2203</v>
      </c>
      <c r="D1199" t="s">
        <v>129</v>
      </c>
      <c r="G1199" t="s">
        <v>17</v>
      </c>
      <c r="H1199" t="s">
        <v>39</v>
      </c>
      <c r="I1199" t="s">
        <v>34</v>
      </c>
      <c r="J1199" t="s">
        <v>35</v>
      </c>
      <c r="K1199" t="s">
        <v>36</v>
      </c>
      <c r="L1199" t="s">
        <v>22</v>
      </c>
      <c r="M1199" s="1">
        <v>38070</v>
      </c>
      <c r="N1199">
        <v>2004</v>
      </c>
    </row>
    <row r="1200" spans="1:14">
      <c r="A1200" t="s">
        <v>14</v>
      </c>
      <c r="B1200" t="str">
        <f>"111404200500"</f>
        <v>111404200500</v>
      </c>
      <c r="C1200" t="s">
        <v>2474</v>
      </c>
      <c r="D1200" t="s">
        <v>113</v>
      </c>
      <c r="G1200" t="s">
        <v>17</v>
      </c>
      <c r="H1200" t="s">
        <v>39</v>
      </c>
      <c r="I1200" t="s">
        <v>34</v>
      </c>
      <c r="J1200" t="s">
        <v>35</v>
      </c>
      <c r="K1200" t="s">
        <v>36</v>
      </c>
      <c r="M1200" s="1">
        <v>38456</v>
      </c>
      <c r="N1200">
        <v>2005</v>
      </c>
    </row>
    <row r="1201" spans="1:14">
      <c r="A1201" t="s">
        <v>14</v>
      </c>
      <c r="B1201" t="str">
        <f>"111607200301"</f>
        <v>111607200301</v>
      </c>
      <c r="C1201" t="s">
        <v>459</v>
      </c>
      <c r="D1201" t="s">
        <v>136</v>
      </c>
      <c r="G1201" t="s">
        <v>17</v>
      </c>
      <c r="H1201" t="s">
        <v>51</v>
      </c>
      <c r="I1201" t="s">
        <v>34</v>
      </c>
      <c r="J1201" t="s">
        <v>35</v>
      </c>
      <c r="K1201" t="s">
        <v>463</v>
      </c>
      <c r="M1201" s="1">
        <v>37818</v>
      </c>
      <c r="N1201">
        <v>2003</v>
      </c>
    </row>
    <row r="1202" spans="1:14">
      <c r="A1202" t="s">
        <v>14</v>
      </c>
      <c r="B1202" t="str">
        <f>"110507200300"</f>
        <v>110507200300</v>
      </c>
      <c r="C1202" t="s">
        <v>530</v>
      </c>
      <c r="D1202" t="s">
        <v>531</v>
      </c>
      <c r="G1202" t="s">
        <v>17</v>
      </c>
      <c r="H1202" t="s">
        <v>51</v>
      </c>
      <c r="I1202" t="s">
        <v>34</v>
      </c>
      <c r="J1202" t="s">
        <v>35</v>
      </c>
      <c r="K1202" t="s">
        <v>532</v>
      </c>
      <c r="L1202" t="s">
        <v>22</v>
      </c>
      <c r="M1202" s="1">
        <v>37807</v>
      </c>
      <c r="N1202">
        <v>2003</v>
      </c>
    </row>
    <row r="1203" spans="1:14">
      <c r="A1203" t="s">
        <v>14</v>
      </c>
      <c r="B1203" t="str">
        <f>"111610200301"</f>
        <v>111610200301</v>
      </c>
      <c r="C1203" t="s">
        <v>764</v>
      </c>
      <c r="D1203" t="s">
        <v>181</v>
      </c>
      <c r="G1203" t="s">
        <v>17</v>
      </c>
      <c r="H1203" t="s">
        <v>51</v>
      </c>
      <c r="I1203" t="s">
        <v>34</v>
      </c>
      <c r="J1203" t="s">
        <v>35</v>
      </c>
      <c r="K1203" t="s">
        <v>36</v>
      </c>
      <c r="L1203" t="s">
        <v>22</v>
      </c>
      <c r="M1203" s="1">
        <v>37910</v>
      </c>
      <c r="N1203">
        <v>2003</v>
      </c>
    </row>
    <row r="1204" spans="1:14">
      <c r="A1204" t="s">
        <v>14</v>
      </c>
      <c r="B1204" t="str">
        <f>"110309200200"</f>
        <v>110309200200</v>
      </c>
      <c r="C1204" t="s">
        <v>1442</v>
      </c>
      <c r="D1204" t="s">
        <v>221</v>
      </c>
      <c r="G1204" t="s">
        <v>17</v>
      </c>
      <c r="H1204" t="s">
        <v>51</v>
      </c>
      <c r="I1204" t="s">
        <v>34</v>
      </c>
      <c r="J1204" t="s">
        <v>35</v>
      </c>
      <c r="K1204" t="s">
        <v>463</v>
      </c>
      <c r="L1204" t="s">
        <v>22</v>
      </c>
      <c r="M1204" s="1">
        <v>37502</v>
      </c>
      <c r="N1204">
        <v>2002</v>
      </c>
    </row>
    <row r="1205" spans="1:14">
      <c r="A1205" t="s">
        <v>14</v>
      </c>
      <c r="B1205" t="str">
        <f>"112207200201"</f>
        <v>112207200201</v>
      </c>
      <c r="C1205" t="s">
        <v>1662</v>
      </c>
      <c r="D1205" t="s">
        <v>181</v>
      </c>
      <c r="G1205" t="s">
        <v>17</v>
      </c>
      <c r="H1205" t="s">
        <v>51</v>
      </c>
      <c r="I1205" t="s">
        <v>34</v>
      </c>
      <c r="J1205" t="s">
        <v>35</v>
      </c>
      <c r="K1205" t="s">
        <v>463</v>
      </c>
      <c r="M1205" s="1">
        <v>37459</v>
      </c>
      <c r="N1205">
        <v>2002</v>
      </c>
    </row>
    <row r="1206" spans="1:14">
      <c r="A1206" t="s">
        <v>14</v>
      </c>
      <c r="B1206" t="str">
        <f>"111901200301"</f>
        <v>111901200301</v>
      </c>
      <c r="C1206" t="s">
        <v>1691</v>
      </c>
      <c r="D1206" t="s">
        <v>209</v>
      </c>
      <c r="G1206" t="s">
        <v>17</v>
      </c>
      <c r="H1206" t="s">
        <v>51</v>
      </c>
      <c r="I1206" t="s">
        <v>34</v>
      </c>
      <c r="J1206" t="s">
        <v>35</v>
      </c>
      <c r="K1206" t="s">
        <v>264</v>
      </c>
      <c r="L1206" t="s">
        <v>22</v>
      </c>
      <c r="M1206" s="1">
        <v>37640</v>
      </c>
      <c r="N1206">
        <v>2003</v>
      </c>
    </row>
    <row r="1207" spans="1:14">
      <c r="A1207" t="s">
        <v>14</v>
      </c>
      <c r="B1207" t="str">
        <f>"112506200300"</f>
        <v>112506200300</v>
      </c>
      <c r="C1207" t="s">
        <v>1757</v>
      </c>
      <c r="D1207" t="s">
        <v>209</v>
      </c>
      <c r="G1207" t="s">
        <v>17</v>
      </c>
      <c r="H1207" t="s">
        <v>51</v>
      </c>
      <c r="I1207" t="s">
        <v>34</v>
      </c>
      <c r="J1207" t="s">
        <v>35</v>
      </c>
      <c r="K1207" t="s">
        <v>1758</v>
      </c>
      <c r="L1207" t="s">
        <v>22</v>
      </c>
      <c r="M1207" s="1">
        <v>37797</v>
      </c>
      <c r="N1207">
        <v>2003</v>
      </c>
    </row>
    <row r="1208" spans="1:14">
      <c r="A1208" t="s">
        <v>14</v>
      </c>
      <c r="B1208" t="str">
        <f>"112405200300"</f>
        <v>112405200300</v>
      </c>
      <c r="C1208" t="s">
        <v>2184</v>
      </c>
      <c r="D1208" t="s">
        <v>221</v>
      </c>
      <c r="G1208" t="s">
        <v>17</v>
      </c>
      <c r="H1208" t="s">
        <v>51</v>
      </c>
      <c r="I1208" t="s">
        <v>34</v>
      </c>
      <c r="J1208" t="s">
        <v>35</v>
      </c>
      <c r="K1208" t="s">
        <v>532</v>
      </c>
      <c r="L1208" t="s">
        <v>22</v>
      </c>
      <c r="M1208" s="1">
        <v>37765</v>
      </c>
      <c r="N1208">
        <v>2003</v>
      </c>
    </row>
    <row r="1209" spans="1:14">
      <c r="A1209" t="s">
        <v>14</v>
      </c>
      <c r="B1209" t="str">
        <f>"111506200300"</f>
        <v>111506200300</v>
      </c>
      <c r="C1209" t="s">
        <v>2384</v>
      </c>
      <c r="D1209" t="s">
        <v>259</v>
      </c>
      <c r="G1209" t="s">
        <v>17</v>
      </c>
      <c r="H1209" t="s">
        <v>51</v>
      </c>
      <c r="I1209" t="s">
        <v>34</v>
      </c>
      <c r="J1209" t="s">
        <v>35</v>
      </c>
      <c r="K1209" t="s">
        <v>1758</v>
      </c>
      <c r="L1209" t="s">
        <v>22</v>
      </c>
      <c r="M1209" s="1">
        <v>37787</v>
      </c>
      <c r="N1209">
        <v>2003</v>
      </c>
    </row>
    <row r="1210" spans="1:14">
      <c r="A1210" t="s">
        <v>14</v>
      </c>
      <c r="B1210" t="str">
        <f>"110406200202"</f>
        <v>110406200202</v>
      </c>
      <c r="C1210" t="s">
        <v>2944</v>
      </c>
      <c r="D1210" t="s">
        <v>95</v>
      </c>
      <c r="G1210" t="s">
        <v>17</v>
      </c>
      <c r="H1210" t="s">
        <v>51</v>
      </c>
      <c r="I1210" t="s">
        <v>34</v>
      </c>
      <c r="J1210" t="s">
        <v>35</v>
      </c>
      <c r="K1210" t="s">
        <v>1758</v>
      </c>
      <c r="L1210" t="s">
        <v>22</v>
      </c>
      <c r="M1210" s="1">
        <v>37411</v>
      </c>
      <c r="N1210">
        <v>2002</v>
      </c>
    </row>
    <row r="1211" spans="1:14">
      <c r="A1211" t="s">
        <v>14</v>
      </c>
      <c r="B1211" t="str">
        <f>"111803199700"</f>
        <v>111803199700</v>
      </c>
      <c r="C1211" t="s">
        <v>1750</v>
      </c>
      <c r="D1211" t="s">
        <v>113</v>
      </c>
      <c r="G1211" t="s">
        <v>17</v>
      </c>
      <c r="H1211" t="s">
        <v>25</v>
      </c>
      <c r="I1211" t="s">
        <v>1751</v>
      </c>
      <c r="J1211" t="s">
        <v>35</v>
      </c>
      <c r="K1211" t="s">
        <v>36</v>
      </c>
      <c r="L1211" t="s">
        <v>48</v>
      </c>
      <c r="M1211" s="1">
        <v>35507</v>
      </c>
      <c r="N1211">
        <v>1997</v>
      </c>
    </row>
    <row r="1212" spans="1:14">
      <c r="A1212" t="s">
        <v>14</v>
      </c>
      <c r="B1212" t="str">
        <f>"110804199800"</f>
        <v>110804199800</v>
      </c>
      <c r="C1212" t="s">
        <v>2745</v>
      </c>
      <c r="D1212" t="s">
        <v>344</v>
      </c>
      <c r="G1212" t="s">
        <v>17</v>
      </c>
      <c r="H1212" t="s">
        <v>25</v>
      </c>
      <c r="I1212" t="s">
        <v>2641</v>
      </c>
      <c r="J1212" t="s">
        <v>35</v>
      </c>
      <c r="K1212" t="s">
        <v>2746</v>
      </c>
      <c r="L1212" t="s">
        <v>63</v>
      </c>
      <c r="M1212" s="1">
        <v>35893</v>
      </c>
      <c r="N1212">
        <v>1998</v>
      </c>
    </row>
    <row r="1213" spans="1:14">
      <c r="A1213" t="s">
        <v>14</v>
      </c>
      <c r="B1213" t="str">
        <f>"111209199901"</f>
        <v>111209199901</v>
      </c>
      <c r="C1213" t="s">
        <v>2640</v>
      </c>
      <c r="D1213" t="s">
        <v>617</v>
      </c>
      <c r="G1213" t="s">
        <v>17</v>
      </c>
      <c r="H1213" t="s">
        <v>18</v>
      </c>
      <c r="I1213" t="s">
        <v>2641</v>
      </c>
      <c r="J1213" t="s">
        <v>35</v>
      </c>
      <c r="K1213" t="s">
        <v>2642</v>
      </c>
      <c r="L1213" t="s">
        <v>63</v>
      </c>
      <c r="M1213" s="1">
        <v>36415</v>
      </c>
      <c r="N1213">
        <v>1999</v>
      </c>
    </row>
    <row r="1214" spans="1:14">
      <c r="A1214" t="s">
        <v>14</v>
      </c>
      <c r="B1214" t="str">
        <f>"112603199901"</f>
        <v>112603199901</v>
      </c>
      <c r="C1214" t="s">
        <v>2907</v>
      </c>
      <c r="D1214" t="s">
        <v>258</v>
      </c>
      <c r="G1214" t="s">
        <v>17</v>
      </c>
      <c r="H1214" t="s">
        <v>18</v>
      </c>
      <c r="I1214" t="s">
        <v>2641</v>
      </c>
      <c r="J1214" t="s">
        <v>35</v>
      </c>
      <c r="K1214" t="s">
        <v>2642</v>
      </c>
      <c r="L1214" t="s">
        <v>63</v>
      </c>
      <c r="M1214" s="1">
        <v>36245</v>
      </c>
      <c r="N1214">
        <v>1999</v>
      </c>
    </row>
    <row r="1215" spans="1:14">
      <c r="A1215" t="s">
        <v>14</v>
      </c>
      <c r="B1215" t="str">
        <f>"121405200400"</f>
        <v>121405200400</v>
      </c>
      <c r="C1215" t="s">
        <v>246</v>
      </c>
      <c r="D1215" t="s">
        <v>143</v>
      </c>
      <c r="G1215" t="s">
        <v>32</v>
      </c>
      <c r="H1215" t="s">
        <v>33</v>
      </c>
      <c r="I1215" t="s">
        <v>71</v>
      </c>
      <c r="J1215" t="s">
        <v>72</v>
      </c>
      <c r="K1215" t="s">
        <v>247</v>
      </c>
      <c r="L1215" t="s">
        <v>22</v>
      </c>
      <c r="M1215" s="1">
        <v>38121</v>
      </c>
      <c r="N1215">
        <v>2004</v>
      </c>
    </row>
    <row r="1216" spans="1:14">
      <c r="A1216" t="s">
        <v>14</v>
      </c>
      <c r="B1216" t="str">
        <f>"121008200500"</f>
        <v>121008200500</v>
      </c>
      <c r="C1216" t="s">
        <v>405</v>
      </c>
      <c r="D1216" t="s">
        <v>203</v>
      </c>
      <c r="G1216" t="s">
        <v>32</v>
      </c>
      <c r="H1216" t="s">
        <v>33</v>
      </c>
      <c r="I1216" t="s">
        <v>71</v>
      </c>
      <c r="J1216" t="s">
        <v>72</v>
      </c>
      <c r="K1216" t="s">
        <v>266</v>
      </c>
      <c r="M1216" s="1">
        <v>38574</v>
      </c>
      <c r="N1216">
        <v>2005</v>
      </c>
    </row>
    <row r="1217" spans="1:14">
      <c r="A1217" t="s">
        <v>14</v>
      </c>
      <c r="B1217" t="str">
        <f>"121507200500"</f>
        <v>121507200500</v>
      </c>
      <c r="C1217" t="s">
        <v>570</v>
      </c>
      <c r="D1217" t="s">
        <v>571</v>
      </c>
      <c r="G1217" t="s">
        <v>32</v>
      </c>
      <c r="H1217" t="s">
        <v>33</v>
      </c>
      <c r="I1217" t="s">
        <v>71</v>
      </c>
      <c r="J1217" t="s">
        <v>72</v>
      </c>
      <c r="K1217" t="s">
        <v>460</v>
      </c>
      <c r="L1217" t="s">
        <v>22</v>
      </c>
      <c r="M1217" s="1">
        <v>38548</v>
      </c>
      <c r="N1217">
        <v>2005</v>
      </c>
    </row>
    <row r="1218" spans="1:14">
      <c r="A1218" t="s">
        <v>14</v>
      </c>
      <c r="B1218" t="str">
        <f>"121508200500"</f>
        <v>121508200500</v>
      </c>
      <c r="C1218" t="s">
        <v>717</v>
      </c>
      <c r="D1218" t="s">
        <v>127</v>
      </c>
      <c r="G1218" t="s">
        <v>32</v>
      </c>
      <c r="H1218" t="s">
        <v>33</v>
      </c>
      <c r="I1218" t="s">
        <v>71</v>
      </c>
      <c r="J1218" t="s">
        <v>72</v>
      </c>
      <c r="K1218" t="s">
        <v>266</v>
      </c>
      <c r="M1218" s="1">
        <v>38579</v>
      </c>
      <c r="N1218">
        <v>2005</v>
      </c>
    </row>
    <row r="1219" spans="1:14">
      <c r="A1219" t="s">
        <v>14</v>
      </c>
      <c r="B1219" t="str">
        <f>"121512200500"</f>
        <v>121512200500</v>
      </c>
      <c r="C1219" t="s">
        <v>722</v>
      </c>
      <c r="D1219" t="s">
        <v>723</v>
      </c>
      <c r="G1219" t="s">
        <v>32</v>
      </c>
      <c r="H1219" t="s">
        <v>33</v>
      </c>
      <c r="I1219" t="s">
        <v>71</v>
      </c>
      <c r="J1219" t="s">
        <v>72</v>
      </c>
      <c r="K1219" t="s">
        <v>266</v>
      </c>
      <c r="M1219" s="1">
        <v>38701</v>
      </c>
      <c r="N1219">
        <v>2005</v>
      </c>
    </row>
    <row r="1220" spans="1:14">
      <c r="A1220" t="s">
        <v>14</v>
      </c>
      <c r="B1220" t="str">
        <f>"122308200500"</f>
        <v>122308200500</v>
      </c>
      <c r="C1220" t="s">
        <v>756</v>
      </c>
      <c r="D1220" t="s">
        <v>58</v>
      </c>
      <c r="G1220" t="s">
        <v>32</v>
      </c>
      <c r="H1220" t="s">
        <v>33</v>
      </c>
      <c r="I1220" t="s">
        <v>71</v>
      </c>
      <c r="J1220" t="s">
        <v>72</v>
      </c>
      <c r="K1220" t="s">
        <v>266</v>
      </c>
      <c r="L1220" t="s">
        <v>22</v>
      </c>
      <c r="M1220" s="1">
        <v>38587</v>
      </c>
      <c r="N1220">
        <v>2005</v>
      </c>
    </row>
    <row r="1221" spans="1:14">
      <c r="A1221" t="s">
        <v>14</v>
      </c>
      <c r="B1221" t="str">
        <f>"121608200400"</f>
        <v>121608200400</v>
      </c>
      <c r="C1221" t="s">
        <v>841</v>
      </c>
      <c r="D1221" t="s">
        <v>842</v>
      </c>
      <c r="G1221" t="s">
        <v>32</v>
      </c>
      <c r="H1221" t="s">
        <v>33</v>
      </c>
      <c r="I1221" t="s">
        <v>71</v>
      </c>
      <c r="J1221" t="s">
        <v>72</v>
      </c>
      <c r="K1221" t="s">
        <v>703</v>
      </c>
      <c r="L1221" t="s">
        <v>22</v>
      </c>
      <c r="M1221" s="1">
        <v>38215</v>
      </c>
      <c r="N1221">
        <v>2004</v>
      </c>
    </row>
    <row r="1222" spans="1:14">
      <c r="A1222" t="s">
        <v>14</v>
      </c>
      <c r="B1222" t="str">
        <f>"122111200400"</f>
        <v>122111200400</v>
      </c>
      <c r="C1222" t="s">
        <v>899</v>
      </c>
      <c r="D1222" t="s">
        <v>143</v>
      </c>
      <c r="G1222" t="s">
        <v>32</v>
      </c>
      <c r="H1222" t="s">
        <v>33</v>
      </c>
      <c r="I1222" t="s">
        <v>71</v>
      </c>
      <c r="J1222" t="s">
        <v>72</v>
      </c>
      <c r="K1222" t="s">
        <v>266</v>
      </c>
      <c r="L1222" t="s">
        <v>22</v>
      </c>
      <c r="M1222" s="1">
        <v>38312</v>
      </c>
      <c r="N1222">
        <v>2004</v>
      </c>
    </row>
    <row r="1223" spans="1:14">
      <c r="A1223" t="s">
        <v>14</v>
      </c>
      <c r="B1223" t="str">
        <f>"121402200500"</f>
        <v>121402200500</v>
      </c>
      <c r="C1223" t="s">
        <v>1599</v>
      </c>
      <c r="D1223" t="s">
        <v>127</v>
      </c>
      <c r="G1223" t="s">
        <v>32</v>
      </c>
      <c r="H1223" t="s">
        <v>33</v>
      </c>
      <c r="I1223" t="s">
        <v>71</v>
      </c>
      <c r="J1223" t="s">
        <v>72</v>
      </c>
      <c r="K1223" t="s">
        <v>460</v>
      </c>
      <c r="L1223" t="s">
        <v>22</v>
      </c>
      <c r="M1223" s="1">
        <v>38397</v>
      </c>
      <c r="N1223">
        <v>2005</v>
      </c>
    </row>
    <row r="1224" spans="1:14">
      <c r="A1224" t="s">
        <v>14</v>
      </c>
      <c r="B1224" t="str">
        <f>"121111200400"</f>
        <v>121111200400</v>
      </c>
      <c r="C1224" t="s">
        <v>1867</v>
      </c>
      <c r="D1224" t="s">
        <v>1745</v>
      </c>
      <c r="G1224" t="s">
        <v>32</v>
      </c>
      <c r="H1224" t="s">
        <v>33</v>
      </c>
      <c r="I1224" t="s">
        <v>71</v>
      </c>
      <c r="J1224" t="s">
        <v>72</v>
      </c>
      <c r="K1224" t="s">
        <v>73</v>
      </c>
      <c r="L1224" t="s">
        <v>63</v>
      </c>
      <c r="M1224" s="1">
        <v>38302</v>
      </c>
      <c r="N1224">
        <v>2004</v>
      </c>
    </row>
    <row r="1225" spans="1:14">
      <c r="A1225" t="s">
        <v>14</v>
      </c>
      <c r="B1225" t="str">
        <f>"120201200500"</f>
        <v>120201200500</v>
      </c>
      <c r="C1225" t="s">
        <v>1942</v>
      </c>
      <c r="D1225" t="s">
        <v>541</v>
      </c>
      <c r="G1225" t="s">
        <v>32</v>
      </c>
      <c r="H1225" t="s">
        <v>33</v>
      </c>
      <c r="I1225" t="s">
        <v>71</v>
      </c>
      <c r="J1225" t="s">
        <v>72</v>
      </c>
      <c r="K1225" t="s">
        <v>247</v>
      </c>
      <c r="L1225" t="s">
        <v>22</v>
      </c>
      <c r="M1225" s="1">
        <v>38354</v>
      </c>
      <c r="N1225">
        <v>2005</v>
      </c>
    </row>
    <row r="1226" spans="1:14">
      <c r="A1226" t="s">
        <v>14</v>
      </c>
      <c r="B1226" t="str">
        <f>"121103200400"</f>
        <v>121103200400</v>
      </c>
      <c r="C1226" t="s">
        <v>2144</v>
      </c>
      <c r="D1226" t="s">
        <v>178</v>
      </c>
      <c r="G1226" t="s">
        <v>32</v>
      </c>
      <c r="H1226" t="s">
        <v>33</v>
      </c>
      <c r="I1226" t="s">
        <v>71</v>
      </c>
      <c r="J1226" t="s">
        <v>72</v>
      </c>
      <c r="K1226" t="s">
        <v>703</v>
      </c>
      <c r="L1226" t="s">
        <v>22</v>
      </c>
      <c r="M1226" s="1">
        <v>38057</v>
      </c>
      <c r="N1226">
        <v>2004</v>
      </c>
    </row>
    <row r="1227" spans="1:14">
      <c r="A1227" t="s">
        <v>14</v>
      </c>
      <c r="B1227" t="str">
        <f>"121706200500"</f>
        <v>121706200500</v>
      </c>
      <c r="C1227" t="s">
        <v>2227</v>
      </c>
      <c r="D1227" t="s">
        <v>332</v>
      </c>
      <c r="G1227" t="s">
        <v>32</v>
      </c>
      <c r="H1227" t="s">
        <v>33</v>
      </c>
      <c r="I1227" t="s">
        <v>71</v>
      </c>
      <c r="J1227" t="s">
        <v>72</v>
      </c>
      <c r="K1227" t="s">
        <v>247</v>
      </c>
      <c r="L1227" t="s">
        <v>22</v>
      </c>
      <c r="M1227" s="1">
        <v>38520</v>
      </c>
      <c r="N1227">
        <v>2005</v>
      </c>
    </row>
    <row r="1228" spans="1:14">
      <c r="A1228" t="s">
        <v>14</v>
      </c>
      <c r="B1228" t="str">
        <f>"121606200500"</f>
        <v>121606200500</v>
      </c>
      <c r="C1228" t="s">
        <v>2388</v>
      </c>
      <c r="D1228" t="s">
        <v>31</v>
      </c>
      <c r="G1228" t="s">
        <v>32</v>
      </c>
      <c r="H1228" t="s">
        <v>33</v>
      </c>
      <c r="I1228" t="s">
        <v>71</v>
      </c>
      <c r="J1228" t="s">
        <v>72</v>
      </c>
      <c r="K1228" t="s">
        <v>266</v>
      </c>
      <c r="L1228" t="s">
        <v>22</v>
      </c>
      <c r="M1228" s="1">
        <v>38519</v>
      </c>
      <c r="N1228">
        <v>2005</v>
      </c>
    </row>
    <row r="1229" spans="1:14">
      <c r="A1229" t="s">
        <v>14</v>
      </c>
      <c r="B1229" t="str">
        <f>"121105200400"</f>
        <v>121105200400</v>
      </c>
      <c r="C1229" t="s">
        <v>2444</v>
      </c>
      <c r="D1229" t="s">
        <v>380</v>
      </c>
      <c r="G1229" t="s">
        <v>32</v>
      </c>
      <c r="H1229" t="s">
        <v>33</v>
      </c>
      <c r="I1229" t="s">
        <v>71</v>
      </c>
      <c r="J1229" t="s">
        <v>72</v>
      </c>
      <c r="K1229" t="s">
        <v>455</v>
      </c>
      <c r="L1229" t="s">
        <v>202</v>
      </c>
      <c r="M1229" s="1">
        <v>38118</v>
      </c>
      <c r="N1229">
        <v>2004</v>
      </c>
    </row>
    <row r="1230" spans="1:14">
      <c r="A1230" t="s">
        <v>14</v>
      </c>
      <c r="B1230" t="str">
        <f>"122510200500"</f>
        <v>122510200500</v>
      </c>
      <c r="C1230" t="s">
        <v>2492</v>
      </c>
      <c r="D1230" t="s">
        <v>429</v>
      </c>
      <c r="G1230" t="s">
        <v>32</v>
      </c>
      <c r="H1230" t="s">
        <v>33</v>
      </c>
      <c r="I1230" t="s">
        <v>71</v>
      </c>
      <c r="J1230" t="s">
        <v>72</v>
      </c>
      <c r="K1230" t="s">
        <v>266</v>
      </c>
      <c r="M1230" s="1">
        <v>38650</v>
      </c>
      <c r="N1230">
        <v>2005</v>
      </c>
    </row>
    <row r="1231" spans="1:14">
      <c r="A1231" t="s">
        <v>14</v>
      </c>
      <c r="B1231" t="str">
        <f>"122807200500"</f>
        <v>122807200500</v>
      </c>
      <c r="C1231" t="s">
        <v>2583</v>
      </c>
      <c r="D1231" t="s">
        <v>611</v>
      </c>
      <c r="G1231" t="s">
        <v>32</v>
      </c>
      <c r="H1231" t="s">
        <v>33</v>
      </c>
      <c r="I1231" t="s">
        <v>71</v>
      </c>
      <c r="J1231" t="s">
        <v>72</v>
      </c>
      <c r="K1231" t="s">
        <v>247</v>
      </c>
      <c r="L1231" t="s">
        <v>22</v>
      </c>
      <c r="M1231" s="1">
        <v>38561</v>
      </c>
      <c r="N1231">
        <v>2005</v>
      </c>
    </row>
    <row r="1232" spans="1:14">
      <c r="A1232" t="s">
        <v>14</v>
      </c>
      <c r="B1232" t="str">
        <f>"122604200400"</f>
        <v>122604200400</v>
      </c>
      <c r="C1232" t="s">
        <v>2912</v>
      </c>
      <c r="D1232" t="s">
        <v>58</v>
      </c>
      <c r="G1232" t="s">
        <v>32</v>
      </c>
      <c r="H1232" t="s">
        <v>33</v>
      </c>
      <c r="I1232" t="s">
        <v>71</v>
      </c>
      <c r="J1232" t="s">
        <v>72</v>
      </c>
      <c r="K1232" t="s">
        <v>1467</v>
      </c>
      <c r="L1232" t="s">
        <v>22</v>
      </c>
      <c r="M1232" s="1">
        <v>38103</v>
      </c>
      <c r="N1232">
        <v>2004</v>
      </c>
    </row>
    <row r="1233" spans="1:14">
      <c r="A1233" t="s">
        <v>14</v>
      </c>
      <c r="B1233" t="str">
        <f>"122303200301"</f>
        <v>122303200301</v>
      </c>
      <c r="C1233" t="s">
        <v>265</v>
      </c>
      <c r="D1233" t="s">
        <v>127</v>
      </c>
      <c r="G1233" t="s">
        <v>32</v>
      </c>
      <c r="H1233" t="s">
        <v>65</v>
      </c>
      <c r="I1233" t="s">
        <v>71</v>
      </c>
      <c r="J1233" t="s">
        <v>72</v>
      </c>
      <c r="K1233" t="s">
        <v>266</v>
      </c>
      <c r="L1233" t="s">
        <v>22</v>
      </c>
      <c r="M1233" s="1">
        <v>37703</v>
      </c>
      <c r="N1233">
        <v>2003</v>
      </c>
    </row>
    <row r="1234" spans="1:14">
      <c r="A1234" t="s">
        <v>14</v>
      </c>
      <c r="B1234" t="str">
        <f>"120212200300"</f>
        <v>120212200300</v>
      </c>
      <c r="C1234" t="s">
        <v>278</v>
      </c>
      <c r="D1234" t="s">
        <v>279</v>
      </c>
      <c r="G1234" t="s">
        <v>32</v>
      </c>
      <c r="H1234" t="s">
        <v>65</v>
      </c>
      <c r="I1234" t="s">
        <v>71</v>
      </c>
      <c r="J1234" t="s">
        <v>72</v>
      </c>
      <c r="K1234" t="s">
        <v>280</v>
      </c>
      <c r="L1234" t="s">
        <v>22</v>
      </c>
      <c r="M1234" s="1">
        <v>37957</v>
      </c>
      <c r="N1234">
        <v>2003</v>
      </c>
    </row>
    <row r="1235" spans="1:14">
      <c r="A1235" t="s">
        <v>14</v>
      </c>
      <c r="B1235" t="str">
        <f>"121701200200"</f>
        <v>121701200200</v>
      </c>
      <c r="C1235" t="s">
        <v>605</v>
      </c>
      <c r="D1235" t="s">
        <v>238</v>
      </c>
      <c r="G1235" t="s">
        <v>32</v>
      </c>
      <c r="H1235" t="s">
        <v>65</v>
      </c>
      <c r="I1235" t="s">
        <v>71</v>
      </c>
      <c r="J1235" t="s">
        <v>72</v>
      </c>
      <c r="K1235" t="s">
        <v>606</v>
      </c>
      <c r="L1235" t="s">
        <v>22</v>
      </c>
      <c r="M1235" s="1">
        <v>37273</v>
      </c>
      <c r="N1235">
        <v>2002</v>
      </c>
    </row>
    <row r="1236" spans="1:14">
      <c r="A1236" t="s">
        <v>14</v>
      </c>
      <c r="B1236" t="str">
        <f>"123004200301"</f>
        <v>123004200301</v>
      </c>
      <c r="C1236" t="s">
        <v>702</v>
      </c>
      <c r="D1236" t="s">
        <v>184</v>
      </c>
      <c r="G1236" t="s">
        <v>32</v>
      </c>
      <c r="H1236" t="s">
        <v>65</v>
      </c>
      <c r="I1236" t="s">
        <v>71</v>
      </c>
      <c r="J1236" t="s">
        <v>72</v>
      </c>
      <c r="K1236" t="s">
        <v>703</v>
      </c>
      <c r="L1236" t="s">
        <v>63</v>
      </c>
      <c r="M1236" s="1">
        <v>37741</v>
      </c>
      <c r="N1236">
        <v>2003</v>
      </c>
    </row>
    <row r="1237" spans="1:14">
      <c r="A1237" t="s">
        <v>14</v>
      </c>
      <c r="B1237" t="str">
        <f>"121706200200"</f>
        <v>121706200200</v>
      </c>
      <c r="C1237" t="s">
        <v>877</v>
      </c>
      <c r="D1237" t="s">
        <v>58</v>
      </c>
      <c r="G1237" t="s">
        <v>32</v>
      </c>
      <c r="H1237" t="s">
        <v>65</v>
      </c>
      <c r="I1237" t="s">
        <v>71</v>
      </c>
      <c r="J1237" t="s">
        <v>72</v>
      </c>
      <c r="K1237" t="s">
        <v>280</v>
      </c>
      <c r="M1237" s="1">
        <v>37424</v>
      </c>
      <c r="N1237">
        <v>2002</v>
      </c>
    </row>
    <row r="1238" spans="1:14">
      <c r="A1238" t="s">
        <v>14</v>
      </c>
      <c r="B1238" t="str">
        <f>"122802200301"</f>
        <v>122802200301</v>
      </c>
      <c r="C1238" t="s">
        <v>1398</v>
      </c>
      <c r="D1238" t="s">
        <v>279</v>
      </c>
      <c r="G1238" t="s">
        <v>32</v>
      </c>
      <c r="H1238" t="s">
        <v>65</v>
      </c>
      <c r="I1238" t="s">
        <v>71</v>
      </c>
      <c r="J1238" t="s">
        <v>72</v>
      </c>
      <c r="K1238" t="s">
        <v>460</v>
      </c>
      <c r="L1238" t="s">
        <v>22</v>
      </c>
      <c r="M1238" s="1">
        <v>37680</v>
      </c>
      <c r="N1238">
        <v>2003</v>
      </c>
    </row>
    <row r="1239" spans="1:14">
      <c r="A1239" t="s">
        <v>14</v>
      </c>
      <c r="B1239" t="str">
        <f>"120112200300"</f>
        <v>120112200300</v>
      </c>
      <c r="C1239" t="s">
        <v>1466</v>
      </c>
      <c r="D1239" t="s">
        <v>205</v>
      </c>
      <c r="G1239" t="s">
        <v>32</v>
      </c>
      <c r="H1239" t="s">
        <v>65</v>
      </c>
      <c r="I1239" t="s">
        <v>71</v>
      </c>
      <c r="J1239" t="s">
        <v>72</v>
      </c>
      <c r="K1239" t="s">
        <v>1467</v>
      </c>
      <c r="M1239" s="1">
        <v>37956</v>
      </c>
      <c r="N1239">
        <v>2003</v>
      </c>
    </row>
    <row r="1240" spans="1:14">
      <c r="A1240" t="s">
        <v>14</v>
      </c>
      <c r="B1240" t="str">
        <f>"120612200300"</f>
        <v>120612200300</v>
      </c>
      <c r="C1240" t="s">
        <v>1506</v>
      </c>
      <c r="D1240" t="s">
        <v>232</v>
      </c>
      <c r="G1240" t="s">
        <v>32</v>
      </c>
      <c r="H1240" t="s">
        <v>65</v>
      </c>
      <c r="I1240" t="s">
        <v>71</v>
      </c>
      <c r="J1240" t="s">
        <v>72</v>
      </c>
      <c r="K1240" t="s">
        <v>266</v>
      </c>
      <c r="L1240" t="s">
        <v>63</v>
      </c>
      <c r="M1240" s="1">
        <v>37961</v>
      </c>
      <c r="N1240">
        <v>2003</v>
      </c>
    </row>
    <row r="1241" spans="1:14">
      <c r="A1241" t="s">
        <v>14</v>
      </c>
      <c r="B1241" t="str">
        <f>"122201200300"</f>
        <v>122201200300</v>
      </c>
      <c r="C1241" t="s">
        <v>1536</v>
      </c>
      <c r="D1241" t="s">
        <v>541</v>
      </c>
      <c r="G1241" t="s">
        <v>32</v>
      </c>
      <c r="H1241" t="s">
        <v>65</v>
      </c>
      <c r="I1241" t="s">
        <v>71</v>
      </c>
      <c r="J1241" t="s">
        <v>72</v>
      </c>
      <c r="K1241" t="s">
        <v>73</v>
      </c>
      <c r="L1241" t="s">
        <v>22</v>
      </c>
      <c r="M1241" s="1">
        <v>37643</v>
      </c>
      <c r="N1241">
        <v>2003</v>
      </c>
    </row>
    <row r="1242" spans="1:14">
      <c r="A1242" t="s">
        <v>14</v>
      </c>
      <c r="B1242" t="str">
        <f>"122207200300"</f>
        <v>122207200300</v>
      </c>
      <c r="C1242" t="s">
        <v>1672</v>
      </c>
      <c r="D1242" t="s">
        <v>58</v>
      </c>
      <c r="G1242" t="s">
        <v>32</v>
      </c>
      <c r="H1242" t="s">
        <v>65</v>
      </c>
      <c r="I1242" t="s">
        <v>71</v>
      </c>
      <c r="J1242" t="s">
        <v>72</v>
      </c>
      <c r="K1242" t="s">
        <v>460</v>
      </c>
      <c r="M1242" s="1">
        <v>37824</v>
      </c>
      <c r="N1242">
        <v>2003</v>
      </c>
    </row>
    <row r="1243" spans="1:14">
      <c r="A1243" t="s">
        <v>14</v>
      </c>
      <c r="B1243" t="str">
        <f>"121912200300"</f>
        <v>121912200300</v>
      </c>
      <c r="C1243" t="s">
        <v>1690</v>
      </c>
      <c r="D1243" t="s">
        <v>587</v>
      </c>
      <c r="G1243" t="s">
        <v>32</v>
      </c>
      <c r="H1243" t="s">
        <v>65</v>
      </c>
      <c r="I1243" t="s">
        <v>71</v>
      </c>
      <c r="J1243" t="s">
        <v>72</v>
      </c>
      <c r="K1243" t="s">
        <v>247</v>
      </c>
      <c r="L1243" t="s">
        <v>22</v>
      </c>
      <c r="M1243" s="1">
        <v>37974</v>
      </c>
      <c r="N1243">
        <v>2003</v>
      </c>
    </row>
    <row r="1244" spans="1:14">
      <c r="A1244" t="s">
        <v>14</v>
      </c>
      <c r="B1244" t="str">
        <f>"121912200301"</f>
        <v>121912200301</v>
      </c>
      <c r="C1244" t="s">
        <v>1690</v>
      </c>
      <c r="D1244" t="s">
        <v>723</v>
      </c>
      <c r="G1244" t="s">
        <v>32</v>
      </c>
      <c r="H1244" t="s">
        <v>65</v>
      </c>
      <c r="I1244" t="s">
        <v>71</v>
      </c>
      <c r="J1244" t="s">
        <v>72</v>
      </c>
      <c r="K1244" t="s">
        <v>606</v>
      </c>
      <c r="L1244" t="s">
        <v>22</v>
      </c>
      <c r="M1244" s="1">
        <v>37974</v>
      </c>
      <c r="N1244">
        <v>2003</v>
      </c>
    </row>
    <row r="1245" spans="1:14">
      <c r="A1245" t="s">
        <v>14</v>
      </c>
      <c r="B1245" t="str">
        <f>"122407200201"</f>
        <v>122407200201</v>
      </c>
      <c r="C1245" t="s">
        <v>2182</v>
      </c>
      <c r="D1245" t="s">
        <v>127</v>
      </c>
      <c r="G1245" t="s">
        <v>32</v>
      </c>
      <c r="H1245" t="s">
        <v>65</v>
      </c>
      <c r="I1245" t="s">
        <v>71</v>
      </c>
      <c r="J1245" t="s">
        <v>72</v>
      </c>
      <c r="K1245" t="s">
        <v>455</v>
      </c>
      <c r="L1245" t="s">
        <v>63</v>
      </c>
      <c r="M1245" s="1">
        <v>37461</v>
      </c>
      <c r="N1245">
        <v>2002</v>
      </c>
    </row>
    <row r="1246" spans="1:14">
      <c r="A1246" t="s">
        <v>14</v>
      </c>
      <c r="B1246" t="str">
        <f>"120209200300"</f>
        <v>120209200300</v>
      </c>
      <c r="C1246" t="s">
        <v>2536</v>
      </c>
      <c r="D1246" t="s">
        <v>232</v>
      </c>
      <c r="G1246" t="s">
        <v>32</v>
      </c>
      <c r="H1246" t="s">
        <v>65</v>
      </c>
      <c r="I1246" t="s">
        <v>71</v>
      </c>
      <c r="J1246" t="s">
        <v>72</v>
      </c>
      <c r="K1246" t="s">
        <v>280</v>
      </c>
      <c r="L1246" t="s">
        <v>22</v>
      </c>
      <c r="M1246" s="1">
        <v>37866</v>
      </c>
      <c r="N1246">
        <v>2003</v>
      </c>
    </row>
    <row r="1247" spans="1:14">
      <c r="A1247" t="s">
        <v>14</v>
      </c>
      <c r="B1247" t="str">
        <f>"122004200200"</f>
        <v>122004200200</v>
      </c>
      <c r="C1247" t="s">
        <v>2862</v>
      </c>
      <c r="D1247" t="s">
        <v>409</v>
      </c>
      <c r="G1247" t="s">
        <v>32</v>
      </c>
      <c r="H1247" t="s">
        <v>65</v>
      </c>
      <c r="I1247" t="s">
        <v>71</v>
      </c>
      <c r="J1247" t="s">
        <v>72</v>
      </c>
      <c r="K1247" t="s">
        <v>455</v>
      </c>
      <c r="L1247" t="s">
        <v>202</v>
      </c>
      <c r="M1247" s="1">
        <v>37366</v>
      </c>
      <c r="N1247">
        <v>2002</v>
      </c>
    </row>
    <row r="1248" spans="1:14">
      <c r="A1248" t="s">
        <v>14</v>
      </c>
      <c r="B1248" t="str">
        <f>"122905199701"</f>
        <v>122905199701</v>
      </c>
      <c r="C1248" t="s">
        <v>650</v>
      </c>
      <c r="D1248" t="s">
        <v>31</v>
      </c>
      <c r="G1248" t="s">
        <v>32</v>
      </c>
      <c r="H1248" t="s">
        <v>59</v>
      </c>
      <c r="I1248" t="s">
        <v>71</v>
      </c>
      <c r="J1248" t="s">
        <v>72</v>
      </c>
      <c r="K1248" t="s">
        <v>651</v>
      </c>
      <c r="L1248" t="s">
        <v>29</v>
      </c>
      <c r="M1248" s="1">
        <v>35579</v>
      </c>
      <c r="N1248">
        <v>1997</v>
      </c>
    </row>
    <row r="1249" spans="1:14">
      <c r="A1249" t="s">
        <v>14</v>
      </c>
      <c r="B1249" t="str">
        <f>"121501199800"</f>
        <v>121501199800</v>
      </c>
      <c r="C1249" t="s">
        <v>1672</v>
      </c>
      <c r="D1249" t="s">
        <v>611</v>
      </c>
      <c r="G1249" t="s">
        <v>32</v>
      </c>
      <c r="H1249" t="s">
        <v>59</v>
      </c>
      <c r="I1249" t="s">
        <v>71</v>
      </c>
      <c r="J1249" t="s">
        <v>72</v>
      </c>
      <c r="K1249" t="s">
        <v>460</v>
      </c>
      <c r="L1249" t="s">
        <v>48</v>
      </c>
      <c r="M1249" s="1">
        <v>35810</v>
      </c>
      <c r="N1249">
        <v>1998</v>
      </c>
    </row>
    <row r="1250" spans="1:14">
      <c r="A1250" t="s">
        <v>14</v>
      </c>
      <c r="B1250" t="str">
        <f>"121005199801"</f>
        <v>121005199801</v>
      </c>
      <c r="C1250" t="s">
        <v>2721</v>
      </c>
      <c r="D1250" t="s">
        <v>1513</v>
      </c>
      <c r="G1250" t="s">
        <v>32</v>
      </c>
      <c r="H1250" t="s">
        <v>59</v>
      </c>
      <c r="I1250" t="s">
        <v>71</v>
      </c>
      <c r="J1250" t="s">
        <v>72</v>
      </c>
      <c r="K1250" t="s">
        <v>460</v>
      </c>
      <c r="L1250" t="s">
        <v>48</v>
      </c>
      <c r="M1250" s="1">
        <v>35925</v>
      </c>
      <c r="N1250">
        <v>1998</v>
      </c>
    </row>
    <row r="1251" spans="1:14">
      <c r="A1251" t="s">
        <v>14</v>
      </c>
      <c r="B1251" t="str">
        <f>"121412200000"</f>
        <v>121412200000</v>
      </c>
      <c r="C1251" t="s">
        <v>658</v>
      </c>
      <c r="D1251" t="s">
        <v>127</v>
      </c>
      <c r="G1251" t="s">
        <v>32</v>
      </c>
      <c r="H1251" t="s">
        <v>44</v>
      </c>
      <c r="I1251" t="s">
        <v>71</v>
      </c>
      <c r="J1251" t="s">
        <v>72</v>
      </c>
      <c r="K1251" t="s">
        <v>460</v>
      </c>
      <c r="L1251" t="s">
        <v>63</v>
      </c>
      <c r="M1251" s="1">
        <v>36874</v>
      </c>
      <c r="N1251">
        <v>2000</v>
      </c>
    </row>
    <row r="1252" spans="1:14">
      <c r="A1252" t="s">
        <v>14</v>
      </c>
      <c r="B1252" t="str">
        <f>"120312199900"</f>
        <v>120312199900</v>
      </c>
      <c r="C1252" t="s">
        <v>941</v>
      </c>
      <c r="D1252" t="s">
        <v>233</v>
      </c>
      <c r="G1252" t="s">
        <v>32</v>
      </c>
      <c r="H1252" t="s">
        <v>44</v>
      </c>
      <c r="I1252" t="s">
        <v>71</v>
      </c>
      <c r="J1252" t="s">
        <v>72</v>
      </c>
      <c r="K1252" t="s">
        <v>280</v>
      </c>
      <c r="L1252" t="s">
        <v>22</v>
      </c>
      <c r="M1252" s="1">
        <v>36497</v>
      </c>
      <c r="N1252">
        <v>1999</v>
      </c>
    </row>
    <row r="1253" spans="1:14">
      <c r="A1253" t="s">
        <v>14</v>
      </c>
      <c r="B1253" t="str">
        <f>"122709200000"</f>
        <v>122709200000</v>
      </c>
      <c r="C1253" t="s">
        <v>1155</v>
      </c>
      <c r="D1253" t="s">
        <v>139</v>
      </c>
      <c r="G1253" t="s">
        <v>32</v>
      </c>
      <c r="H1253" t="s">
        <v>44</v>
      </c>
      <c r="I1253" t="s">
        <v>71</v>
      </c>
      <c r="J1253" t="s">
        <v>72</v>
      </c>
      <c r="K1253" t="s">
        <v>455</v>
      </c>
      <c r="L1253" t="s">
        <v>22</v>
      </c>
      <c r="M1253" s="1">
        <v>36796</v>
      </c>
      <c r="N1253">
        <v>2000</v>
      </c>
    </row>
    <row r="1254" spans="1:14">
      <c r="A1254" t="s">
        <v>14</v>
      </c>
      <c r="B1254" t="str">
        <f>"120701200101"</f>
        <v>120701200101</v>
      </c>
      <c r="C1254" t="s">
        <v>1193</v>
      </c>
      <c r="D1254" t="s">
        <v>127</v>
      </c>
      <c r="G1254" t="s">
        <v>32</v>
      </c>
      <c r="H1254" t="s">
        <v>44</v>
      </c>
      <c r="I1254" t="s">
        <v>71</v>
      </c>
      <c r="J1254" t="s">
        <v>72</v>
      </c>
      <c r="K1254" t="s">
        <v>455</v>
      </c>
      <c r="L1254" t="s">
        <v>22</v>
      </c>
      <c r="M1254" s="1">
        <v>36898</v>
      </c>
      <c r="N1254">
        <v>2001</v>
      </c>
    </row>
    <row r="1255" spans="1:14">
      <c r="A1255" t="s">
        <v>14</v>
      </c>
      <c r="B1255" t="str">
        <f>"122609200100"</f>
        <v>122609200100</v>
      </c>
      <c r="C1255" t="s">
        <v>1548</v>
      </c>
      <c r="D1255" t="s">
        <v>143</v>
      </c>
      <c r="G1255" t="s">
        <v>32</v>
      </c>
      <c r="H1255" t="s">
        <v>44</v>
      </c>
      <c r="I1255" t="s">
        <v>71</v>
      </c>
      <c r="J1255" t="s">
        <v>72</v>
      </c>
      <c r="K1255" t="s">
        <v>280</v>
      </c>
      <c r="L1255" t="s">
        <v>22</v>
      </c>
      <c r="M1255" s="1">
        <v>37160</v>
      </c>
      <c r="N1255">
        <v>2001</v>
      </c>
    </row>
    <row r="1256" spans="1:14">
      <c r="A1256" t="s">
        <v>14</v>
      </c>
      <c r="B1256" t="str">
        <f>"120404200100"</f>
        <v>120404200100</v>
      </c>
      <c r="C1256" t="s">
        <v>1752</v>
      </c>
      <c r="D1256" t="s">
        <v>238</v>
      </c>
      <c r="G1256" t="s">
        <v>32</v>
      </c>
      <c r="H1256" t="s">
        <v>44</v>
      </c>
      <c r="I1256" t="s">
        <v>71</v>
      </c>
      <c r="J1256" t="s">
        <v>72</v>
      </c>
      <c r="K1256" t="s">
        <v>280</v>
      </c>
      <c r="L1256" t="s">
        <v>22</v>
      </c>
      <c r="M1256" s="1">
        <v>36985</v>
      </c>
      <c r="N1256">
        <v>2001</v>
      </c>
    </row>
    <row r="1257" spans="1:14">
      <c r="A1257" t="s">
        <v>14</v>
      </c>
      <c r="B1257" t="str">
        <f>"121802200000"</f>
        <v>121802200000</v>
      </c>
      <c r="C1257" t="s">
        <v>2123</v>
      </c>
      <c r="D1257" t="s">
        <v>232</v>
      </c>
      <c r="G1257" t="s">
        <v>32</v>
      </c>
      <c r="H1257" t="s">
        <v>44</v>
      </c>
      <c r="I1257" t="s">
        <v>71</v>
      </c>
      <c r="J1257" t="s">
        <v>72</v>
      </c>
      <c r="K1257" t="s">
        <v>460</v>
      </c>
      <c r="L1257" t="s">
        <v>22</v>
      </c>
      <c r="M1257" s="1">
        <v>36574</v>
      </c>
      <c r="N1257">
        <v>2000</v>
      </c>
    </row>
    <row r="1258" spans="1:14">
      <c r="A1258" t="s">
        <v>14</v>
      </c>
      <c r="B1258" t="str">
        <f>"121704200000"</f>
        <v>121704200000</v>
      </c>
      <c r="C1258" t="s">
        <v>2593</v>
      </c>
      <c r="D1258" t="s">
        <v>551</v>
      </c>
      <c r="G1258" t="s">
        <v>32</v>
      </c>
      <c r="H1258" t="s">
        <v>44</v>
      </c>
      <c r="I1258" t="s">
        <v>71</v>
      </c>
      <c r="J1258" t="s">
        <v>72</v>
      </c>
      <c r="K1258" t="s">
        <v>280</v>
      </c>
      <c r="L1258" t="s">
        <v>22</v>
      </c>
      <c r="M1258" s="1">
        <v>36633</v>
      </c>
      <c r="N1258">
        <v>2000</v>
      </c>
    </row>
    <row r="1259" spans="1:14">
      <c r="A1259" t="s">
        <v>14</v>
      </c>
      <c r="B1259" t="str">
        <f>"110312199800"</f>
        <v>110312199800</v>
      </c>
      <c r="C1259" t="s">
        <v>454</v>
      </c>
      <c r="D1259" t="s">
        <v>209</v>
      </c>
      <c r="G1259" t="s">
        <v>17</v>
      </c>
      <c r="H1259" t="s">
        <v>25</v>
      </c>
      <c r="I1259" t="s">
        <v>71</v>
      </c>
      <c r="J1259" t="s">
        <v>72</v>
      </c>
      <c r="K1259" t="s">
        <v>455</v>
      </c>
      <c r="L1259" t="s">
        <v>48</v>
      </c>
      <c r="M1259" s="1">
        <v>36132</v>
      </c>
      <c r="N1259">
        <v>1998</v>
      </c>
    </row>
    <row r="1260" spans="1:14">
      <c r="A1260" t="s">
        <v>14</v>
      </c>
      <c r="B1260" t="str">
        <f>"110507199802"</f>
        <v>110507199802</v>
      </c>
      <c r="C1260" t="s">
        <v>459</v>
      </c>
      <c r="D1260" t="s">
        <v>100</v>
      </c>
      <c r="G1260" t="s">
        <v>17</v>
      </c>
      <c r="H1260" t="s">
        <v>25</v>
      </c>
      <c r="I1260" t="s">
        <v>71</v>
      </c>
      <c r="J1260" t="s">
        <v>72</v>
      </c>
      <c r="K1260" t="s">
        <v>460</v>
      </c>
      <c r="L1260" t="s">
        <v>63</v>
      </c>
      <c r="M1260" s="1">
        <v>35981</v>
      </c>
      <c r="N1260">
        <v>1998</v>
      </c>
    </row>
    <row r="1261" spans="1:14">
      <c r="A1261" t="s">
        <v>14</v>
      </c>
      <c r="B1261" t="str">
        <f>"110605199201"</f>
        <v>110605199201</v>
      </c>
      <c r="C1261" t="s">
        <v>1288</v>
      </c>
      <c r="D1261" t="s">
        <v>558</v>
      </c>
      <c r="G1261" t="s">
        <v>17</v>
      </c>
      <c r="H1261" t="s">
        <v>25</v>
      </c>
      <c r="I1261" t="s">
        <v>71</v>
      </c>
      <c r="J1261" t="s">
        <v>72</v>
      </c>
      <c r="K1261" t="s">
        <v>1289</v>
      </c>
      <c r="L1261" t="s">
        <v>63</v>
      </c>
      <c r="M1261" s="1">
        <v>33730</v>
      </c>
      <c r="N1261">
        <v>1992</v>
      </c>
    </row>
    <row r="1262" spans="1:14">
      <c r="A1262" t="s">
        <v>14</v>
      </c>
      <c r="B1262" t="str">
        <f>"111010199701"</f>
        <v>111010199701</v>
      </c>
      <c r="C1262" t="s">
        <v>1429</v>
      </c>
      <c r="D1262" t="s">
        <v>53</v>
      </c>
      <c r="G1262" t="s">
        <v>17</v>
      </c>
      <c r="H1262" t="s">
        <v>25</v>
      </c>
      <c r="I1262" t="s">
        <v>71</v>
      </c>
      <c r="J1262" t="s">
        <v>72</v>
      </c>
      <c r="K1262" t="s">
        <v>460</v>
      </c>
      <c r="L1262" t="s">
        <v>48</v>
      </c>
      <c r="M1262" s="1">
        <v>35713</v>
      </c>
      <c r="N1262">
        <v>1997</v>
      </c>
    </row>
    <row r="1263" spans="1:14">
      <c r="A1263" t="s">
        <v>14</v>
      </c>
      <c r="B1263" t="str">
        <f>"111712199801"</f>
        <v>111712199801</v>
      </c>
      <c r="C1263" t="s">
        <v>1500</v>
      </c>
      <c r="D1263" t="s">
        <v>129</v>
      </c>
      <c r="G1263" t="s">
        <v>17</v>
      </c>
      <c r="H1263" t="s">
        <v>25</v>
      </c>
      <c r="I1263" t="s">
        <v>71</v>
      </c>
      <c r="J1263" t="s">
        <v>72</v>
      </c>
      <c r="K1263" t="s">
        <v>460</v>
      </c>
      <c r="L1263" t="s">
        <v>63</v>
      </c>
      <c r="M1263" s="1">
        <v>36146</v>
      </c>
      <c r="N1263">
        <v>1998</v>
      </c>
    </row>
    <row r="1264" spans="1:14">
      <c r="A1264" t="s">
        <v>14</v>
      </c>
      <c r="B1264" t="str">
        <f>"110505199804"</f>
        <v>110505199804</v>
      </c>
      <c r="C1264" t="s">
        <v>2443</v>
      </c>
      <c r="D1264" t="s">
        <v>209</v>
      </c>
      <c r="G1264" t="s">
        <v>17</v>
      </c>
      <c r="H1264" t="s">
        <v>25</v>
      </c>
      <c r="I1264" t="s">
        <v>71</v>
      </c>
      <c r="J1264" t="s">
        <v>72</v>
      </c>
      <c r="K1264" t="s">
        <v>280</v>
      </c>
      <c r="L1264" t="s">
        <v>22</v>
      </c>
      <c r="M1264" s="1">
        <v>35920</v>
      </c>
      <c r="N1264">
        <v>1998</v>
      </c>
    </row>
    <row r="1265" spans="1:14">
      <c r="A1265" t="s">
        <v>14</v>
      </c>
      <c r="B1265" t="str">
        <f>"112209199801"</f>
        <v>112209199801</v>
      </c>
      <c r="C1265" t="s">
        <v>2482</v>
      </c>
      <c r="D1265" t="s">
        <v>534</v>
      </c>
      <c r="G1265" t="s">
        <v>17</v>
      </c>
      <c r="H1265" t="s">
        <v>25</v>
      </c>
      <c r="I1265" t="s">
        <v>71</v>
      </c>
      <c r="J1265" t="s">
        <v>72</v>
      </c>
      <c r="K1265" t="s">
        <v>455</v>
      </c>
      <c r="L1265" t="s">
        <v>22</v>
      </c>
      <c r="M1265" s="1">
        <v>36060</v>
      </c>
      <c r="N1265">
        <v>1998</v>
      </c>
    </row>
    <row r="1266" spans="1:14">
      <c r="A1266" t="s">
        <v>14</v>
      </c>
      <c r="B1266" t="str">
        <f>"112001200102"</f>
        <v>112001200102</v>
      </c>
      <c r="C1266" t="s">
        <v>488</v>
      </c>
      <c r="D1266" t="s">
        <v>155</v>
      </c>
      <c r="G1266" t="s">
        <v>17</v>
      </c>
      <c r="H1266" t="s">
        <v>18</v>
      </c>
      <c r="I1266" t="s">
        <v>71</v>
      </c>
      <c r="J1266" t="s">
        <v>72</v>
      </c>
      <c r="K1266" t="s">
        <v>266</v>
      </c>
      <c r="L1266" t="s">
        <v>22</v>
      </c>
      <c r="M1266" s="1">
        <v>36911</v>
      </c>
      <c r="N1266">
        <v>2001</v>
      </c>
    </row>
    <row r="1267" spans="1:14">
      <c r="A1267" t="s">
        <v>14</v>
      </c>
      <c r="B1267" t="str">
        <f>"111407200101"</f>
        <v>111407200101</v>
      </c>
      <c r="C1267" t="s">
        <v>695</v>
      </c>
      <c r="D1267" t="s">
        <v>259</v>
      </c>
      <c r="G1267" t="s">
        <v>17</v>
      </c>
      <c r="H1267" t="s">
        <v>18</v>
      </c>
      <c r="I1267" t="s">
        <v>71</v>
      </c>
      <c r="J1267" t="s">
        <v>72</v>
      </c>
      <c r="K1267" t="s">
        <v>455</v>
      </c>
      <c r="L1267" t="s">
        <v>63</v>
      </c>
      <c r="M1267" s="1">
        <v>37086</v>
      </c>
      <c r="N1267">
        <v>2001</v>
      </c>
    </row>
    <row r="1268" spans="1:14">
      <c r="A1268" t="s">
        <v>14</v>
      </c>
      <c r="B1268" t="str">
        <f>"110606199900"</f>
        <v>110606199900</v>
      </c>
      <c r="C1268" t="s">
        <v>800</v>
      </c>
      <c r="D1268" t="s">
        <v>232</v>
      </c>
      <c r="G1268" t="s">
        <v>17</v>
      </c>
      <c r="H1268" t="s">
        <v>18</v>
      </c>
      <c r="I1268" t="s">
        <v>71</v>
      </c>
      <c r="J1268" t="s">
        <v>72</v>
      </c>
      <c r="K1268" t="s">
        <v>455</v>
      </c>
      <c r="L1268" t="s">
        <v>63</v>
      </c>
      <c r="M1268" s="1">
        <v>36317</v>
      </c>
      <c r="N1268">
        <v>1999</v>
      </c>
    </row>
    <row r="1269" spans="1:14">
      <c r="A1269" t="s">
        <v>14</v>
      </c>
      <c r="B1269" t="str">
        <f>"110310200001"</f>
        <v>110310200001</v>
      </c>
      <c r="C1269" t="s">
        <v>875</v>
      </c>
      <c r="D1269" t="s">
        <v>70</v>
      </c>
      <c r="G1269" t="s">
        <v>17</v>
      </c>
      <c r="H1269" t="s">
        <v>18</v>
      </c>
      <c r="I1269" t="s">
        <v>71</v>
      </c>
      <c r="J1269" t="s">
        <v>72</v>
      </c>
      <c r="K1269" t="s">
        <v>455</v>
      </c>
      <c r="L1269" t="s">
        <v>22</v>
      </c>
      <c r="M1269" s="1">
        <v>36802</v>
      </c>
      <c r="N1269">
        <v>2000</v>
      </c>
    </row>
    <row r="1270" spans="1:14">
      <c r="A1270" t="s">
        <v>14</v>
      </c>
      <c r="B1270" t="str">
        <f>"112905200100"</f>
        <v>112905200100</v>
      </c>
      <c r="C1270" t="s">
        <v>1293</v>
      </c>
      <c r="D1270" t="s">
        <v>889</v>
      </c>
      <c r="G1270" t="s">
        <v>17</v>
      </c>
      <c r="H1270" t="s">
        <v>18</v>
      </c>
      <c r="I1270" t="s">
        <v>71</v>
      </c>
      <c r="J1270" t="s">
        <v>72</v>
      </c>
      <c r="K1270" t="s">
        <v>73</v>
      </c>
      <c r="M1270" s="1">
        <v>37040</v>
      </c>
      <c r="N1270">
        <v>2001</v>
      </c>
    </row>
    <row r="1271" spans="1:14">
      <c r="A1271" t="s">
        <v>14</v>
      </c>
      <c r="B1271" t="str">
        <f>"112905200104"</f>
        <v>112905200104</v>
      </c>
      <c r="C1271" t="s">
        <v>1297</v>
      </c>
      <c r="D1271" t="s">
        <v>89</v>
      </c>
      <c r="G1271" t="s">
        <v>17</v>
      </c>
      <c r="H1271" t="s">
        <v>18</v>
      </c>
      <c r="I1271" t="s">
        <v>71</v>
      </c>
      <c r="J1271" t="s">
        <v>72</v>
      </c>
      <c r="K1271" t="s">
        <v>73</v>
      </c>
      <c r="M1271" s="1">
        <v>37040</v>
      </c>
      <c r="N1271">
        <v>2001</v>
      </c>
    </row>
    <row r="1272" spans="1:14">
      <c r="A1272" t="s">
        <v>14</v>
      </c>
      <c r="B1272" t="str">
        <f>"110208199900"</f>
        <v>110208199900</v>
      </c>
      <c r="C1272" t="s">
        <v>1346</v>
      </c>
      <c r="D1272" t="s">
        <v>221</v>
      </c>
      <c r="G1272" t="s">
        <v>17</v>
      </c>
      <c r="H1272" t="s">
        <v>18</v>
      </c>
      <c r="I1272" t="s">
        <v>71</v>
      </c>
      <c r="J1272" t="s">
        <v>72</v>
      </c>
      <c r="K1272" t="s">
        <v>280</v>
      </c>
      <c r="L1272" t="s">
        <v>22</v>
      </c>
      <c r="M1272" s="1">
        <v>36374</v>
      </c>
      <c r="N1272">
        <v>1999</v>
      </c>
    </row>
    <row r="1273" spans="1:14">
      <c r="A1273" t="s">
        <v>14</v>
      </c>
      <c r="B1273" t="str">
        <f>"112905200102"</f>
        <v>112905200102</v>
      </c>
      <c r="C1273" t="s">
        <v>1367</v>
      </c>
      <c r="D1273" t="s">
        <v>89</v>
      </c>
      <c r="G1273" t="s">
        <v>17</v>
      </c>
      <c r="H1273" t="s">
        <v>18</v>
      </c>
      <c r="I1273" t="s">
        <v>71</v>
      </c>
      <c r="J1273" t="s">
        <v>72</v>
      </c>
      <c r="K1273" t="s">
        <v>460</v>
      </c>
      <c r="L1273" t="s">
        <v>22</v>
      </c>
      <c r="M1273" s="1">
        <v>37040</v>
      </c>
      <c r="N1273">
        <v>2001</v>
      </c>
    </row>
    <row r="1274" spans="1:14">
      <c r="A1274" t="s">
        <v>14</v>
      </c>
      <c r="B1274" t="str">
        <f>"112702199900"</f>
        <v>112702199900</v>
      </c>
      <c r="C1274" t="s">
        <v>1380</v>
      </c>
      <c r="D1274" t="s">
        <v>70</v>
      </c>
      <c r="G1274" t="s">
        <v>17</v>
      </c>
      <c r="H1274" t="s">
        <v>18</v>
      </c>
      <c r="I1274" t="s">
        <v>71</v>
      </c>
      <c r="J1274" t="s">
        <v>72</v>
      </c>
      <c r="K1274" t="s">
        <v>455</v>
      </c>
      <c r="L1274" t="s">
        <v>22</v>
      </c>
      <c r="M1274" s="1">
        <v>36218</v>
      </c>
      <c r="N1274">
        <v>1999</v>
      </c>
    </row>
    <row r="1275" spans="1:14">
      <c r="A1275" t="s">
        <v>14</v>
      </c>
      <c r="B1275" t="str">
        <f>"111410199900"</f>
        <v>111410199900</v>
      </c>
      <c r="C1275" t="s">
        <v>1457</v>
      </c>
      <c r="D1275" t="s">
        <v>373</v>
      </c>
      <c r="G1275" t="s">
        <v>17</v>
      </c>
      <c r="H1275" t="s">
        <v>18</v>
      </c>
      <c r="I1275" t="s">
        <v>71</v>
      </c>
      <c r="J1275" t="s">
        <v>72</v>
      </c>
      <c r="K1275" t="s">
        <v>73</v>
      </c>
      <c r="M1275" s="1">
        <v>36447</v>
      </c>
      <c r="N1275">
        <v>1999</v>
      </c>
    </row>
    <row r="1276" spans="1:14">
      <c r="A1276" t="s">
        <v>14</v>
      </c>
      <c r="B1276" t="str">
        <f>"110608200101"</f>
        <v>110608200101</v>
      </c>
      <c r="C1276" t="s">
        <v>1535</v>
      </c>
      <c r="D1276" t="s">
        <v>120</v>
      </c>
      <c r="G1276" t="s">
        <v>17</v>
      </c>
      <c r="H1276" t="s">
        <v>18</v>
      </c>
      <c r="I1276" t="s">
        <v>71</v>
      </c>
      <c r="J1276" t="s">
        <v>72</v>
      </c>
      <c r="K1276" t="s">
        <v>73</v>
      </c>
      <c r="M1276" s="1">
        <v>37109</v>
      </c>
      <c r="N1276">
        <v>2001</v>
      </c>
    </row>
    <row r="1277" spans="1:14">
      <c r="A1277" t="s">
        <v>14</v>
      </c>
      <c r="B1277" t="str">
        <f>"112707199901"</f>
        <v>112707199901</v>
      </c>
      <c r="C1277" t="s">
        <v>1699</v>
      </c>
      <c r="D1277" t="s">
        <v>136</v>
      </c>
      <c r="E1277" t="s">
        <v>1700</v>
      </c>
      <c r="F1277" t="s">
        <v>1701</v>
      </c>
      <c r="G1277" t="s">
        <v>17</v>
      </c>
      <c r="H1277" t="s">
        <v>18</v>
      </c>
      <c r="I1277" t="s">
        <v>71</v>
      </c>
      <c r="J1277" t="s">
        <v>72</v>
      </c>
      <c r="K1277" t="s">
        <v>280</v>
      </c>
      <c r="L1277" t="s">
        <v>22</v>
      </c>
      <c r="M1277" s="1">
        <v>36368</v>
      </c>
      <c r="N1277">
        <v>1999</v>
      </c>
    </row>
    <row r="1278" spans="1:14">
      <c r="A1278" t="s">
        <v>14</v>
      </c>
      <c r="B1278" t="str">
        <f>"110507200100"</f>
        <v>110507200100</v>
      </c>
      <c r="C1278" t="s">
        <v>2358</v>
      </c>
      <c r="D1278" t="s">
        <v>259</v>
      </c>
      <c r="G1278" t="s">
        <v>17</v>
      </c>
      <c r="H1278" t="s">
        <v>18</v>
      </c>
      <c r="I1278" t="s">
        <v>71</v>
      </c>
      <c r="J1278" t="s">
        <v>72</v>
      </c>
      <c r="K1278" t="s">
        <v>280</v>
      </c>
      <c r="M1278" s="1">
        <v>37077</v>
      </c>
      <c r="N1278">
        <v>2001</v>
      </c>
    </row>
    <row r="1279" spans="1:14">
      <c r="A1279" t="s">
        <v>14</v>
      </c>
      <c r="B1279" t="str">
        <f>"112709200102"</f>
        <v>112709200102</v>
      </c>
      <c r="C1279" t="s">
        <v>2486</v>
      </c>
      <c r="D1279" t="s">
        <v>95</v>
      </c>
      <c r="G1279" t="s">
        <v>17</v>
      </c>
      <c r="H1279" t="s">
        <v>18</v>
      </c>
      <c r="I1279" t="s">
        <v>71</v>
      </c>
      <c r="J1279" t="s">
        <v>72</v>
      </c>
      <c r="K1279" t="s">
        <v>455</v>
      </c>
      <c r="L1279" t="s">
        <v>63</v>
      </c>
      <c r="M1279" s="1">
        <v>37161</v>
      </c>
      <c r="N1279">
        <v>2001</v>
      </c>
    </row>
    <row r="1280" spans="1:14">
      <c r="A1280" t="s">
        <v>14</v>
      </c>
      <c r="B1280" t="str">
        <f>"111512199900"</f>
        <v>111512199900</v>
      </c>
      <c r="C1280" t="s">
        <v>2547</v>
      </c>
      <c r="D1280" t="s">
        <v>403</v>
      </c>
      <c r="G1280" t="s">
        <v>17</v>
      </c>
      <c r="H1280" t="s">
        <v>18</v>
      </c>
      <c r="I1280" t="s">
        <v>71</v>
      </c>
      <c r="J1280" t="s">
        <v>72</v>
      </c>
      <c r="K1280" t="s">
        <v>280</v>
      </c>
      <c r="L1280" t="s">
        <v>22</v>
      </c>
      <c r="M1280" s="1">
        <v>36509</v>
      </c>
      <c r="N1280">
        <v>1999</v>
      </c>
    </row>
    <row r="1281" spans="1:14">
      <c r="A1281" t="s">
        <v>14</v>
      </c>
      <c r="B1281" t="str">
        <f>"111510200000"</f>
        <v>111510200000</v>
      </c>
      <c r="C1281" t="s">
        <v>2614</v>
      </c>
      <c r="D1281" t="s">
        <v>98</v>
      </c>
      <c r="G1281" t="s">
        <v>17</v>
      </c>
      <c r="H1281" t="s">
        <v>18</v>
      </c>
      <c r="I1281" t="s">
        <v>71</v>
      </c>
      <c r="J1281" t="s">
        <v>72</v>
      </c>
      <c r="K1281" t="s">
        <v>460</v>
      </c>
      <c r="L1281" t="s">
        <v>63</v>
      </c>
      <c r="M1281" s="1">
        <v>36814</v>
      </c>
      <c r="N1281">
        <v>2000</v>
      </c>
    </row>
    <row r="1282" spans="1:14">
      <c r="A1282" t="s">
        <v>14</v>
      </c>
      <c r="B1282" t="str">
        <f>"112304199902"</f>
        <v>112304199902</v>
      </c>
      <c r="C1282" t="s">
        <v>2644</v>
      </c>
      <c r="D1282" t="s">
        <v>342</v>
      </c>
      <c r="G1282" t="s">
        <v>17</v>
      </c>
      <c r="H1282" t="s">
        <v>18</v>
      </c>
      <c r="I1282" t="s">
        <v>71</v>
      </c>
      <c r="J1282" t="s">
        <v>72</v>
      </c>
      <c r="K1282" t="s">
        <v>280</v>
      </c>
      <c r="L1282" t="s">
        <v>202</v>
      </c>
      <c r="M1282" s="1">
        <v>36273</v>
      </c>
      <c r="N1282">
        <v>1999</v>
      </c>
    </row>
    <row r="1283" spans="1:14">
      <c r="A1283" t="s">
        <v>14</v>
      </c>
      <c r="B1283" t="str">
        <f>"110808200101"</f>
        <v>110808200101</v>
      </c>
      <c r="C1283" t="s">
        <v>2763</v>
      </c>
      <c r="D1283" t="s">
        <v>129</v>
      </c>
      <c r="G1283" t="s">
        <v>17</v>
      </c>
      <c r="H1283" t="s">
        <v>18</v>
      </c>
      <c r="I1283" t="s">
        <v>71</v>
      </c>
      <c r="J1283" t="s">
        <v>72</v>
      </c>
      <c r="K1283" t="s">
        <v>73</v>
      </c>
      <c r="M1283" s="1">
        <v>37111</v>
      </c>
      <c r="N1283">
        <v>2001</v>
      </c>
    </row>
    <row r="1284" spans="1:14">
      <c r="A1284" t="s">
        <v>14</v>
      </c>
      <c r="B1284" t="str">
        <f>"111701200002"</f>
        <v>111701200002</v>
      </c>
      <c r="C1284" t="s">
        <v>2891</v>
      </c>
      <c r="D1284" t="s">
        <v>181</v>
      </c>
      <c r="G1284" t="s">
        <v>17</v>
      </c>
      <c r="H1284" t="s">
        <v>18</v>
      </c>
      <c r="I1284" t="s">
        <v>71</v>
      </c>
      <c r="J1284" t="s">
        <v>72</v>
      </c>
      <c r="K1284" t="s">
        <v>266</v>
      </c>
      <c r="M1284" s="1">
        <v>36542</v>
      </c>
      <c r="N1284">
        <v>2000</v>
      </c>
    </row>
    <row r="1285" spans="1:14">
      <c r="A1285" t="s">
        <v>14</v>
      </c>
      <c r="B1285" t="str">
        <f>"112706200500"</f>
        <v>112706200500</v>
      </c>
      <c r="C1285" t="s">
        <v>437</v>
      </c>
      <c r="D1285" t="s">
        <v>209</v>
      </c>
      <c r="G1285" t="s">
        <v>17</v>
      </c>
      <c r="H1285" t="s">
        <v>39</v>
      </c>
      <c r="I1285" t="s">
        <v>71</v>
      </c>
      <c r="J1285" t="s">
        <v>72</v>
      </c>
      <c r="K1285" t="s">
        <v>266</v>
      </c>
      <c r="L1285" t="s">
        <v>22</v>
      </c>
      <c r="M1285" s="1">
        <v>38530</v>
      </c>
      <c r="N1285">
        <v>2005</v>
      </c>
    </row>
    <row r="1286" spans="1:14">
      <c r="A1286" t="s">
        <v>14</v>
      </c>
      <c r="B1286" t="str">
        <f>"111403200500"</f>
        <v>111403200500</v>
      </c>
      <c r="C1286" t="s">
        <v>672</v>
      </c>
      <c r="D1286" t="s">
        <v>305</v>
      </c>
      <c r="G1286" t="s">
        <v>17</v>
      </c>
      <c r="H1286" t="s">
        <v>39</v>
      </c>
      <c r="I1286" t="s">
        <v>71</v>
      </c>
      <c r="J1286" t="s">
        <v>72</v>
      </c>
      <c r="K1286" t="s">
        <v>266</v>
      </c>
      <c r="L1286" t="s">
        <v>22</v>
      </c>
      <c r="M1286" s="1">
        <v>38425</v>
      </c>
      <c r="N1286">
        <v>2005</v>
      </c>
    </row>
    <row r="1287" spans="1:14">
      <c r="A1287" t="s">
        <v>14</v>
      </c>
      <c r="B1287" t="str">
        <f>"110112200500"</f>
        <v>110112200500</v>
      </c>
      <c r="C1287" t="s">
        <v>676</v>
      </c>
      <c r="D1287" t="s">
        <v>89</v>
      </c>
      <c r="G1287" t="s">
        <v>17</v>
      </c>
      <c r="H1287" t="s">
        <v>39</v>
      </c>
      <c r="I1287" t="s">
        <v>71</v>
      </c>
      <c r="J1287" t="s">
        <v>72</v>
      </c>
      <c r="K1287" t="s">
        <v>247</v>
      </c>
      <c r="M1287" s="1">
        <v>38687</v>
      </c>
      <c r="N1287">
        <v>2005</v>
      </c>
    </row>
    <row r="1288" spans="1:14">
      <c r="A1288" t="s">
        <v>14</v>
      </c>
      <c r="B1288" t="str">
        <f>"111601200500"</f>
        <v>111601200500</v>
      </c>
      <c r="C1288" t="s">
        <v>709</v>
      </c>
      <c r="D1288" t="s">
        <v>89</v>
      </c>
      <c r="G1288" t="s">
        <v>17</v>
      </c>
      <c r="H1288" t="s">
        <v>39</v>
      </c>
      <c r="I1288" t="s">
        <v>71</v>
      </c>
      <c r="J1288" t="s">
        <v>72</v>
      </c>
      <c r="K1288" t="s">
        <v>247</v>
      </c>
      <c r="L1288" t="s">
        <v>22</v>
      </c>
      <c r="M1288" s="1">
        <v>38368</v>
      </c>
      <c r="N1288">
        <v>2005</v>
      </c>
    </row>
    <row r="1289" spans="1:14">
      <c r="A1289" t="s">
        <v>14</v>
      </c>
      <c r="B1289" t="str">
        <f>"111405200403"</f>
        <v>111405200403</v>
      </c>
      <c r="C1289" t="s">
        <v>785</v>
      </c>
      <c r="D1289" t="s">
        <v>209</v>
      </c>
      <c r="G1289" t="s">
        <v>17</v>
      </c>
      <c r="H1289" t="s">
        <v>39</v>
      </c>
      <c r="I1289" t="s">
        <v>71</v>
      </c>
      <c r="J1289" t="s">
        <v>72</v>
      </c>
      <c r="K1289" t="s">
        <v>247</v>
      </c>
      <c r="L1289" t="s">
        <v>22</v>
      </c>
      <c r="M1289" s="1">
        <v>38121</v>
      </c>
      <c r="N1289">
        <v>2004</v>
      </c>
    </row>
    <row r="1290" spans="1:14">
      <c r="A1290" t="s">
        <v>14</v>
      </c>
      <c r="B1290" t="str">
        <f>"110210200500"</f>
        <v>110210200500</v>
      </c>
      <c r="C1290" t="s">
        <v>1128</v>
      </c>
      <c r="D1290" t="s">
        <v>287</v>
      </c>
      <c r="G1290" t="s">
        <v>17</v>
      </c>
      <c r="H1290" t="s">
        <v>39</v>
      </c>
      <c r="I1290" t="s">
        <v>71</v>
      </c>
      <c r="J1290" t="s">
        <v>72</v>
      </c>
      <c r="K1290" t="s">
        <v>247</v>
      </c>
      <c r="M1290" s="1">
        <v>38627</v>
      </c>
      <c r="N1290">
        <v>2005</v>
      </c>
    </row>
    <row r="1291" spans="1:14">
      <c r="A1291" t="s">
        <v>14</v>
      </c>
      <c r="B1291" t="str">
        <f>"111708200400"</f>
        <v>111708200400</v>
      </c>
      <c r="C1291" t="s">
        <v>1154</v>
      </c>
      <c r="D1291" t="s">
        <v>53</v>
      </c>
      <c r="G1291" t="s">
        <v>17</v>
      </c>
      <c r="H1291" t="s">
        <v>39</v>
      </c>
      <c r="I1291" t="s">
        <v>71</v>
      </c>
      <c r="J1291" t="s">
        <v>72</v>
      </c>
      <c r="K1291" t="s">
        <v>703</v>
      </c>
      <c r="L1291" t="s">
        <v>22</v>
      </c>
      <c r="M1291" s="1">
        <v>38216</v>
      </c>
      <c r="N1291">
        <v>2004</v>
      </c>
    </row>
    <row r="1292" spans="1:14">
      <c r="A1292" t="s">
        <v>14</v>
      </c>
      <c r="B1292" t="str">
        <f>"113001200501"</f>
        <v>113001200501</v>
      </c>
      <c r="C1292" t="s">
        <v>1372</v>
      </c>
      <c r="D1292" t="s">
        <v>292</v>
      </c>
      <c r="G1292" t="s">
        <v>17</v>
      </c>
      <c r="H1292" t="s">
        <v>39</v>
      </c>
      <c r="I1292" t="s">
        <v>71</v>
      </c>
      <c r="J1292" t="s">
        <v>72</v>
      </c>
      <c r="K1292" t="s">
        <v>266</v>
      </c>
      <c r="M1292" s="1">
        <v>38382</v>
      </c>
      <c r="N1292">
        <v>2005</v>
      </c>
    </row>
    <row r="1293" spans="1:14">
      <c r="A1293" t="s">
        <v>14</v>
      </c>
      <c r="B1293" t="str">
        <f>"110507200500"</f>
        <v>110507200500</v>
      </c>
      <c r="C1293" t="s">
        <v>1572</v>
      </c>
      <c r="D1293" t="s">
        <v>136</v>
      </c>
      <c r="G1293" t="s">
        <v>17</v>
      </c>
      <c r="H1293" t="s">
        <v>39</v>
      </c>
      <c r="I1293" t="s">
        <v>71</v>
      </c>
      <c r="J1293" t="s">
        <v>72</v>
      </c>
      <c r="K1293" t="s">
        <v>266</v>
      </c>
      <c r="L1293" t="s">
        <v>22</v>
      </c>
      <c r="M1293" s="1">
        <v>38538</v>
      </c>
      <c r="N1293">
        <v>2005</v>
      </c>
    </row>
    <row r="1294" spans="1:14">
      <c r="A1294" t="s">
        <v>14</v>
      </c>
      <c r="B1294" t="str">
        <f>"111904200500"</f>
        <v>111904200500</v>
      </c>
      <c r="C1294" t="s">
        <v>1827</v>
      </c>
      <c r="D1294" t="s">
        <v>590</v>
      </c>
      <c r="G1294" t="s">
        <v>17</v>
      </c>
      <c r="H1294" t="s">
        <v>39</v>
      </c>
      <c r="I1294" t="s">
        <v>71</v>
      </c>
      <c r="J1294" t="s">
        <v>72</v>
      </c>
      <c r="K1294" t="s">
        <v>247</v>
      </c>
      <c r="L1294" t="s">
        <v>22</v>
      </c>
      <c r="M1294" s="1">
        <v>38461</v>
      </c>
      <c r="N1294">
        <v>2005</v>
      </c>
    </row>
    <row r="1295" spans="1:14">
      <c r="A1295" t="s">
        <v>14</v>
      </c>
      <c r="B1295" t="str">
        <f>"110304200500"</f>
        <v>110304200500</v>
      </c>
      <c r="C1295" t="s">
        <v>1866</v>
      </c>
      <c r="D1295" t="s">
        <v>136</v>
      </c>
      <c r="G1295" t="s">
        <v>17</v>
      </c>
      <c r="H1295" t="s">
        <v>39</v>
      </c>
      <c r="I1295" t="s">
        <v>71</v>
      </c>
      <c r="J1295" t="s">
        <v>72</v>
      </c>
      <c r="K1295" t="s">
        <v>266</v>
      </c>
      <c r="M1295" s="1">
        <v>38445</v>
      </c>
      <c r="N1295">
        <v>2005</v>
      </c>
    </row>
    <row r="1296" spans="1:14">
      <c r="A1296" t="s">
        <v>14</v>
      </c>
      <c r="B1296" t="str">
        <f>"112006200400"</f>
        <v>112006200400</v>
      </c>
      <c r="C1296" t="s">
        <v>1882</v>
      </c>
      <c r="D1296" t="s">
        <v>129</v>
      </c>
      <c r="G1296" t="s">
        <v>17</v>
      </c>
      <c r="H1296" t="s">
        <v>39</v>
      </c>
      <c r="I1296" t="s">
        <v>71</v>
      </c>
      <c r="J1296" t="s">
        <v>72</v>
      </c>
      <c r="K1296" t="s">
        <v>247</v>
      </c>
      <c r="L1296" t="s">
        <v>22</v>
      </c>
      <c r="M1296" s="1">
        <v>38158</v>
      </c>
      <c r="N1296">
        <v>2004</v>
      </c>
    </row>
    <row r="1297" spans="1:14">
      <c r="A1297" t="s">
        <v>14</v>
      </c>
      <c r="B1297" t="str">
        <f>"113006200500"</f>
        <v>113006200500</v>
      </c>
      <c r="C1297" t="s">
        <v>1889</v>
      </c>
      <c r="D1297" t="s">
        <v>53</v>
      </c>
      <c r="G1297" t="s">
        <v>17</v>
      </c>
      <c r="H1297" t="s">
        <v>39</v>
      </c>
      <c r="I1297" t="s">
        <v>71</v>
      </c>
      <c r="J1297" t="s">
        <v>72</v>
      </c>
      <c r="K1297" t="s">
        <v>247</v>
      </c>
      <c r="L1297" t="s">
        <v>22</v>
      </c>
      <c r="M1297" s="1">
        <v>38533</v>
      </c>
      <c r="N1297">
        <v>2005</v>
      </c>
    </row>
    <row r="1298" spans="1:14">
      <c r="A1298" t="s">
        <v>14</v>
      </c>
      <c r="B1298" t="str">
        <f>"111301200402"</f>
        <v>111301200402</v>
      </c>
      <c r="C1298" t="s">
        <v>2181</v>
      </c>
      <c r="D1298" t="s">
        <v>89</v>
      </c>
      <c r="G1298" t="s">
        <v>17</v>
      </c>
      <c r="H1298" t="s">
        <v>39</v>
      </c>
      <c r="I1298" t="s">
        <v>71</v>
      </c>
      <c r="J1298" t="s">
        <v>72</v>
      </c>
      <c r="K1298" t="s">
        <v>247</v>
      </c>
      <c r="L1298" t="s">
        <v>22</v>
      </c>
      <c r="M1298" s="1">
        <v>37999</v>
      </c>
      <c r="N1298">
        <v>2004</v>
      </c>
    </row>
    <row r="1299" spans="1:14">
      <c r="A1299" t="s">
        <v>14</v>
      </c>
      <c r="B1299" t="str">
        <f>"111006200400"</f>
        <v>111006200400</v>
      </c>
      <c r="C1299" t="s">
        <v>2765</v>
      </c>
      <c r="D1299" t="s">
        <v>129</v>
      </c>
      <c r="G1299" t="s">
        <v>17</v>
      </c>
      <c r="H1299" t="s">
        <v>39</v>
      </c>
      <c r="I1299" t="s">
        <v>71</v>
      </c>
      <c r="J1299" t="s">
        <v>72</v>
      </c>
      <c r="K1299" t="s">
        <v>703</v>
      </c>
      <c r="L1299" t="s">
        <v>22</v>
      </c>
      <c r="M1299" s="1">
        <v>38148</v>
      </c>
      <c r="N1299">
        <v>2004</v>
      </c>
    </row>
    <row r="1300" spans="1:14">
      <c r="A1300" t="s">
        <v>14</v>
      </c>
      <c r="B1300" t="str">
        <f>"110106200500"</f>
        <v>110106200500</v>
      </c>
      <c r="C1300" t="s">
        <v>2917</v>
      </c>
      <c r="D1300" t="s">
        <v>268</v>
      </c>
      <c r="G1300" t="s">
        <v>17</v>
      </c>
      <c r="H1300" t="s">
        <v>39</v>
      </c>
      <c r="I1300" t="s">
        <v>71</v>
      </c>
      <c r="J1300" t="s">
        <v>72</v>
      </c>
      <c r="K1300" t="s">
        <v>247</v>
      </c>
      <c r="L1300" t="s">
        <v>22</v>
      </c>
      <c r="M1300" s="1">
        <v>38504</v>
      </c>
      <c r="N1300">
        <v>2005</v>
      </c>
    </row>
    <row r="1301" spans="1:14">
      <c r="A1301" t="s">
        <v>14</v>
      </c>
      <c r="B1301" t="str">
        <f>"111508200500"</f>
        <v>111508200500</v>
      </c>
      <c r="C1301" t="s">
        <v>2918</v>
      </c>
      <c r="D1301" t="s">
        <v>534</v>
      </c>
      <c r="G1301" t="s">
        <v>17</v>
      </c>
      <c r="H1301" t="s">
        <v>39</v>
      </c>
      <c r="I1301" t="s">
        <v>71</v>
      </c>
      <c r="J1301" t="s">
        <v>72</v>
      </c>
      <c r="K1301" t="s">
        <v>266</v>
      </c>
      <c r="M1301" s="1">
        <v>38579</v>
      </c>
      <c r="N1301">
        <v>2005</v>
      </c>
    </row>
    <row r="1302" spans="1:14">
      <c r="A1302" t="s">
        <v>14</v>
      </c>
      <c r="B1302" t="str">
        <f>"112903200300"</f>
        <v>112903200300</v>
      </c>
      <c r="C1302" t="s">
        <v>69</v>
      </c>
      <c r="D1302" t="s">
        <v>70</v>
      </c>
      <c r="G1302" t="s">
        <v>17</v>
      </c>
      <c r="H1302" t="s">
        <v>51</v>
      </c>
      <c r="I1302" t="s">
        <v>71</v>
      </c>
      <c r="J1302" t="s">
        <v>72</v>
      </c>
      <c r="K1302" t="s">
        <v>73</v>
      </c>
      <c r="L1302" t="s">
        <v>22</v>
      </c>
      <c r="M1302" s="1">
        <v>37709</v>
      </c>
      <c r="N1302">
        <v>2003</v>
      </c>
    </row>
    <row r="1303" spans="1:14">
      <c r="A1303" t="s">
        <v>14</v>
      </c>
      <c r="B1303" t="str">
        <f>"110807200300"</f>
        <v>110807200300</v>
      </c>
      <c r="C1303" t="s">
        <v>450</v>
      </c>
      <c r="D1303" t="s">
        <v>70</v>
      </c>
      <c r="G1303" t="s">
        <v>17</v>
      </c>
      <c r="H1303" t="s">
        <v>51</v>
      </c>
      <c r="I1303" t="s">
        <v>71</v>
      </c>
      <c r="J1303" t="s">
        <v>72</v>
      </c>
      <c r="K1303" t="s">
        <v>266</v>
      </c>
      <c r="L1303" t="s">
        <v>22</v>
      </c>
      <c r="M1303" s="1">
        <v>37810</v>
      </c>
      <c r="N1303">
        <v>2003</v>
      </c>
    </row>
    <row r="1304" spans="1:14">
      <c r="A1304" t="s">
        <v>14</v>
      </c>
      <c r="B1304" t="str">
        <f>"113006200300"</f>
        <v>113006200300</v>
      </c>
      <c r="C1304" t="s">
        <v>522</v>
      </c>
      <c r="D1304" t="s">
        <v>24</v>
      </c>
      <c r="G1304" t="s">
        <v>17</v>
      </c>
      <c r="H1304" t="s">
        <v>51</v>
      </c>
      <c r="I1304" t="s">
        <v>71</v>
      </c>
      <c r="J1304" t="s">
        <v>72</v>
      </c>
      <c r="K1304" t="s">
        <v>266</v>
      </c>
      <c r="L1304" t="s">
        <v>22</v>
      </c>
      <c r="M1304" s="1">
        <v>37802</v>
      </c>
      <c r="N1304">
        <v>2003</v>
      </c>
    </row>
    <row r="1305" spans="1:14">
      <c r="A1305" t="s">
        <v>14</v>
      </c>
      <c r="B1305" t="str">
        <f>"111303200200"</f>
        <v>111303200200</v>
      </c>
      <c r="C1305" t="s">
        <v>2027</v>
      </c>
      <c r="D1305" t="s">
        <v>129</v>
      </c>
      <c r="G1305" t="s">
        <v>17</v>
      </c>
      <c r="H1305" t="s">
        <v>51</v>
      </c>
      <c r="I1305" t="s">
        <v>71</v>
      </c>
      <c r="J1305" t="s">
        <v>72</v>
      </c>
      <c r="K1305" t="s">
        <v>2028</v>
      </c>
      <c r="L1305" t="s">
        <v>22</v>
      </c>
      <c r="M1305" s="1">
        <v>37328</v>
      </c>
      <c r="N1305">
        <v>2002</v>
      </c>
    </row>
    <row r="1306" spans="1:14">
      <c r="A1306" t="s">
        <v>14</v>
      </c>
      <c r="B1306" t="str">
        <f>"112205200301"</f>
        <v>112205200301</v>
      </c>
      <c r="C1306" t="s">
        <v>2097</v>
      </c>
      <c r="D1306" t="s">
        <v>531</v>
      </c>
      <c r="G1306" t="s">
        <v>17</v>
      </c>
      <c r="H1306" t="s">
        <v>51</v>
      </c>
      <c r="I1306" t="s">
        <v>71</v>
      </c>
      <c r="J1306" t="s">
        <v>72</v>
      </c>
      <c r="K1306" t="s">
        <v>606</v>
      </c>
      <c r="M1306" s="1">
        <v>37763</v>
      </c>
      <c r="N1306">
        <v>2003</v>
      </c>
    </row>
    <row r="1307" spans="1:14">
      <c r="A1307" t="s">
        <v>14</v>
      </c>
      <c r="B1307" t="str">
        <f>"110701200300"</f>
        <v>110701200300</v>
      </c>
      <c r="C1307" t="s">
        <v>2100</v>
      </c>
      <c r="D1307" t="s">
        <v>535</v>
      </c>
      <c r="G1307" t="s">
        <v>17</v>
      </c>
      <c r="H1307" t="s">
        <v>51</v>
      </c>
      <c r="I1307" t="s">
        <v>71</v>
      </c>
      <c r="J1307" t="s">
        <v>72</v>
      </c>
      <c r="K1307" t="s">
        <v>606</v>
      </c>
      <c r="M1307" s="1">
        <v>37628</v>
      </c>
      <c r="N1307">
        <v>2003</v>
      </c>
    </row>
    <row r="1308" spans="1:14">
      <c r="A1308" t="s">
        <v>14</v>
      </c>
      <c r="B1308" t="str">
        <f>"111701200300"</f>
        <v>111701200300</v>
      </c>
      <c r="C1308" t="s">
        <v>2666</v>
      </c>
      <c r="D1308" t="s">
        <v>95</v>
      </c>
      <c r="G1308" t="s">
        <v>17</v>
      </c>
      <c r="H1308" t="s">
        <v>51</v>
      </c>
      <c r="I1308" t="s">
        <v>71</v>
      </c>
      <c r="J1308" t="s">
        <v>72</v>
      </c>
      <c r="K1308" t="s">
        <v>606</v>
      </c>
      <c r="L1308" t="s">
        <v>22</v>
      </c>
      <c r="M1308" s="1">
        <v>37638</v>
      </c>
      <c r="N1308">
        <v>2003</v>
      </c>
    </row>
    <row r="1309" spans="1:14">
      <c r="A1309" t="s">
        <v>14</v>
      </c>
      <c r="B1309" t="str">
        <f>"110711200301"</f>
        <v>110711200301</v>
      </c>
      <c r="C1309" t="s">
        <v>2799</v>
      </c>
      <c r="D1309" t="s">
        <v>277</v>
      </c>
      <c r="G1309" t="s">
        <v>17</v>
      </c>
      <c r="H1309" t="s">
        <v>51</v>
      </c>
      <c r="I1309" t="s">
        <v>71</v>
      </c>
      <c r="J1309" t="s">
        <v>72</v>
      </c>
      <c r="K1309" t="s">
        <v>460</v>
      </c>
      <c r="M1309" s="1">
        <v>37932</v>
      </c>
      <c r="N1309">
        <v>2003</v>
      </c>
    </row>
    <row r="1310" spans="1:14">
      <c r="A1310" t="s">
        <v>14</v>
      </c>
      <c r="B1310" t="str">
        <f>"112712200300"</f>
        <v>112712200300</v>
      </c>
      <c r="C1310" t="s">
        <v>2859</v>
      </c>
      <c r="D1310" t="s">
        <v>175</v>
      </c>
      <c r="G1310" t="s">
        <v>17</v>
      </c>
      <c r="H1310" t="s">
        <v>51</v>
      </c>
      <c r="I1310" t="s">
        <v>71</v>
      </c>
      <c r="J1310" t="s">
        <v>72</v>
      </c>
      <c r="K1310" t="s">
        <v>73</v>
      </c>
      <c r="L1310" t="s">
        <v>22</v>
      </c>
      <c r="M1310" s="1">
        <v>37982</v>
      </c>
      <c r="N1310">
        <v>2003</v>
      </c>
    </row>
    <row r="1311" spans="1:14">
      <c r="A1311" t="s">
        <v>14</v>
      </c>
      <c r="B1311" t="str">
        <f>"122310200302"</f>
        <v>122310200302</v>
      </c>
      <c r="C1311" t="s">
        <v>1780</v>
      </c>
      <c r="D1311" t="s">
        <v>510</v>
      </c>
      <c r="G1311" t="s">
        <v>32</v>
      </c>
      <c r="H1311" t="s">
        <v>65</v>
      </c>
      <c r="I1311" t="s">
        <v>618</v>
      </c>
      <c r="J1311" t="s">
        <v>619</v>
      </c>
      <c r="K1311" t="s">
        <v>620</v>
      </c>
      <c r="L1311" t="s">
        <v>22</v>
      </c>
      <c r="M1311" s="1">
        <v>37917</v>
      </c>
      <c r="N1311">
        <v>2003</v>
      </c>
    </row>
    <row r="1312" spans="1:14">
      <c r="A1312" t="s">
        <v>14</v>
      </c>
      <c r="B1312" t="str">
        <f>"120109198900"</f>
        <v>120109198900</v>
      </c>
      <c r="C1312" t="s">
        <v>1298</v>
      </c>
      <c r="D1312" t="s">
        <v>127</v>
      </c>
      <c r="G1312" t="s">
        <v>32</v>
      </c>
      <c r="H1312" t="s">
        <v>59</v>
      </c>
      <c r="I1312" t="s">
        <v>618</v>
      </c>
      <c r="J1312" t="s">
        <v>619</v>
      </c>
      <c r="K1312" t="s">
        <v>1299</v>
      </c>
      <c r="L1312" t="s">
        <v>29</v>
      </c>
      <c r="M1312" s="1">
        <v>32752</v>
      </c>
      <c r="N1312">
        <v>1989</v>
      </c>
    </row>
    <row r="1313" spans="1:14">
      <c r="A1313" t="s">
        <v>14</v>
      </c>
      <c r="B1313" t="str">
        <f>"121011199900"</f>
        <v>121011199900</v>
      </c>
      <c r="C1313" t="s">
        <v>2281</v>
      </c>
      <c r="D1313" t="s">
        <v>551</v>
      </c>
      <c r="G1313" t="s">
        <v>32</v>
      </c>
      <c r="H1313" t="s">
        <v>44</v>
      </c>
      <c r="I1313" t="s">
        <v>618</v>
      </c>
      <c r="J1313" t="s">
        <v>619</v>
      </c>
      <c r="K1313" t="s">
        <v>620</v>
      </c>
      <c r="M1313" s="1">
        <v>36474</v>
      </c>
      <c r="N1313">
        <v>1999</v>
      </c>
    </row>
    <row r="1314" spans="1:14">
      <c r="A1314" t="s">
        <v>14</v>
      </c>
      <c r="B1314" t="str">
        <f>"110912199200"</f>
        <v>110912199200</v>
      </c>
      <c r="C1314" t="s">
        <v>2331</v>
      </c>
      <c r="D1314" t="s">
        <v>283</v>
      </c>
      <c r="G1314" t="s">
        <v>17</v>
      </c>
      <c r="H1314" t="s">
        <v>25</v>
      </c>
      <c r="I1314" t="s">
        <v>618</v>
      </c>
      <c r="J1314" t="s">
        <v>619</v>
      </c>
      <c r="K1314" t="s">
        <v>620</v>
      </c>
      <c r="L1314" t="s">
        <v>48</v>
      </c>
      <c r="M1314" s="1">
        <v>33947</v>
      </c>
      <c r="N1314">
        <v>1992</v>
      </c>
    </row>
    <row r="1315" spans="1:14">
      <c r="A1315" t="s">
        <v>14</v>
      </c>
      <c r="B1315" t="str">
        <f>"112008200101"</f>
        <v>112008200101</v>
      </c>
      <c r="C1315" t="s">
        <v>616</v>
      </c>
      <c r="D1315" t="s">
        <v>617</v>
      </c>
      <c r="G1315" t="s">
        <v>17</v>
      </c>
      <c r="H1315" t="s">
        <v>18</v>
      </c>
      <c r="I1315" t="s">
        <v>618</v>
      </c>
      <c r="J1315" t="s">
        <v>619</v>
      </c>
      <c r="K1315" t="s">
        <v>620</v>
      </c>
      <c r="L1315" t="s">
        <v>22</v>
      </c>
      <c r="M1315" s="1">
        <v>37123</v>
      </c>
      <c r="N1315">
        <v>2001</v>
      </c>
    </row>
    <row r="1316" spans="1:14">
      <c r="A1316" t="s">
        <v>14</v>
      </c>
      <c r="B1316" t="str">
        <f>"110712200300"</f>
        <v>110712200300</v>
      </c>
      <c r="C1316" t="s">
        <v>1384</v>
      </c>
      <c r="D1316" t="s">
        <v>181</v>
      </c>
      <c r="G1316" t="s">
        <v>17</v>
      </c>
      <c r="H1316" t="s">
        <v>51</v>
      </c>
      <c r="I1316" t="s">
        <v>618</v>
      </c>
      <c r="J1316" t="s">
        <v>619</v>
      </c>
      <c r="K1316" t="s">
        <v>1385</v>
      </c>
      <c r="L1316" t="s">
        <v>22</v>
      </c>
      <c r="M1316" s="1">
        <v>37962</v>
      </c>
      <c r="N1316">
        <v>2003</v>
      </c>
    </row>
    <row r="1317" spans="1:14">
      <c r="A1317" t="s">
        <v>14</v>
      </c>
      <c r="B1317" t="str">
        <f>"111703200200"</f>
        <v>111703200200</v>
      </c>
      <c r="C1317" t="s">
        <v>1639</v>
      </c>
      <c r="D1317" t="s">
        <v>89</v>
      </c>
      <c r="G1317" t="s">
        <v>17</v>
      </c>
      <c r="H1317" t="s">
        <v>51</v>
      </c>
      <c r="I1317" t="s">
        <v>618</v>
      </c>
      <c r="J1317" t="s">
        <v>619</v>
      </c>
      <c r="K1317" t="s">
        <v>1640</v>
      </c>
      <c r="L1317" t="s">
        <v>63</v>
      </c>
      <c r="M1317" s="1">
        <v>37332</v>
      </c>
      <c r="N1317">
        <v>2002</v>
      </c>
    </row>
    <row r="1318" spans="1:14">
      <c r="A1318" t="s">
        <v>14</v>
      </c>
      <c r="B1318" t="str">
        <f>"111804200300"</f>
        <v>111804200300</v>
      </c>
      <c r="C1318" t="s">
        <v>49</v>
      </c>
      <c r="D1318" t="s">
        <v>53</v>
      </c>
      <c r="G1318" t="s">
        <v>17</v>
      </c>
      <c r="H1318" t="s">
        <v>51</v>
      </c>
      <c r="I1318" t="s">
        <v>54</v>
      </c>
      <c r="J1318" t="s">
        <v>55</v>
      </c>
      <c r="K1318" t="s">
        <v>56</v>
      </c>
      <c r="L1318" t="s">
        <v>22</v>
      </c>
      <c r="M1318" s="1">
        <v>37729</v>
      </c>
      <c r="N1318">
        <v>2003</v>
      </c>
    </row>
    <row r="1319" spans="1:14">
      <c r="A1319" t="s">
        <v>14</v>
      </c>
      <c r="B1319" t="str">
        <f>"110104200201"</f>
        <v>110104200201</v>
      </c>
      <c r="C1319" t="s">
        <v>733</v>
      </c>
      <c r="D1319" t="s">
        <v>113</v>
      </c>
      <c r="G1319" t="s">
        <v>17</v>
      </c>
      <c r="H1319" t="s">
        <v>51</v>
      </c>
      <c r="I1319" t="s">
        <v>54</v>
      </c>
      <c r="J1319" t="s">
        <v>55</v>
      </c>
      <c r="K1319" t="s">
        <v>56</v>
      </c>
      <c r="L1319" t="s">
        <v>22</v>
      </c>
      <c r="M1319" s="1">
        <v>37347</v>
      </c>
      <c r="N1319">
        <v>2002</v>
      </c>
    </row>
    <row r="1320" spans="1:14">
      <c r="A1320" t="s">
        <v>14</v>
      </c>
      <c r="B1320" t="str">
        <f>"112507200300"</f>
        <v>112507200300</v>
      </c>
      <c r="C1320" t="s">
        <v>1202</v>
      </c>
      <c r="D1320" t="s">
        <v>259</v>
      </c>
      <c r="G1320" t="s">
        <v>17</v>
      </c>
      <c r="H1320" t="s">
        <v>51</v>
      </c>
      <c r="I1320" t="s">
        <v>54</v>
      </c>
      <c r="J1320" t="s">
        <v>55</v>
      </c>
      <c r="K1320" t="s">
        <v>56</v>
      </c>
      <c r="M1320" s="1">
        <v>37827</v>
      </c>
      <c r="N1320">
        <v>2003</v>
      </c>
    </row>
    <row r="1321" spans="1:14">
      <c r="A1321" t="s">
        <v>14</v>
      </c>
      <c r="B1321" t="str">
        <f>"112506200200"</f>
        <v>112506200200</v>
      </c>
      <c r="C1321" t="s">
        <v>1685</v>
      </c>
      <c r="D1321" t="s">
        <v>24</v>
      </c>
      <c r="G1321" t="s">
        <v>17</v>
      </c>
      <c r="H1321" t="s">
        <v>51</v>
      </c>
      <c r="I1321" t="s">
        <v>54</v>
      </c>
      <c r="J1321" t="s">
        <v>55</v>
      </c>
      <c r="K1321" t="s">
        <v>56</v>
      </c>
      <c r="L1321" t="s">
        <v>22</v>
      </c>
      <c r="M1321" s="1">
        <v>37432</v>
      </c>
      <c r="N1321">
        <v>2002</v>
      </c>
    </row>
    <row r="1322" spans="1:14">
      <c r="A1322" t="s">
        <v>14</v>
      </c>
      <c r="B1322" t="str">
        <f>"111808200200"</f>
        <v>111808200200</v>
      </c>
      <c r="C1322" t="s">
        <v>2138</v>
      </c>
      <c r="D1322" t="s">
        <v>535</v>
      </c>
      <c r="G1322" t="s">
        <v>17</v>
      </c>
      <c r="H1322" t="s">
        <v>51</v>
      </c>
      <c r="I1322" t="s">
        <v>54</v>
      </c>
      <c r="J1322" t="s">
        <v>55</v>
      </c>
      <c r="K1322" t="s">
        <v>56</v>
      </c>
      <c r="L1322" t="s">
        <v>22</v>
      </c>
      <c r="M1322" s="1">
        <v>37486</v>
      </c>
      <c r="N1322">
        <v>2002</v>
      </c>
    </row>
    <row r="1323" spans="1:14">
      <c r="A1323" t="s">
        <v>14</v>
      </c>
      <c r="B1323" t="str">
        <f>"120411200400"</f>
        <v>120411200400</v>
      </c>
      <c r="C1323" t="s">
        <v>133</v>
      </c>
      <c r="D1323" t="s">
        <v>31</v>
      </c>
      <c r="G1323" t="s">
        <v>32</v>
      </c>
      <c r="H1323" t="s">
        <v>33</v>
      </c>
      <c r="I1323" t="s">
        <v>76</v>
      </c>
      <c r="J1323" t="s">
        <v>77</v>
      </c>
      <c r="K1323" t="s">
        <v>134</v>
      </c>
      <c r="M1323" s="1">
        <v>38295</v>
      </c>
      <c r="N1323">
        <v>2004</v>
      </c>
    </row>
    <row r="1324" spans="1:14">
      <c r="A1324" t="s">
        <v>14</v>
      </c>
      <c r="B1324" t="str">
        <f>"122102200500"</f>
        <v>122102200500</v>
      </c>
      <c r="C1324" t="s">
        <v>1115</v>
      </c>
      <c r="D1324" t="s">
        <v>493</v>
      </c>
      <c r="G1324" t="s">
        <v>32</v>
      </c>
      <c r="H1324" t="s">
        <v>33</v>
      </c>
      <c r="I1324" t="s">
        <v>76</v>
      </c>
      <c r="J1324" t="s">
        <v>77</v>
      </c>
      <c r="K1324" t="s">
        <v>351</v>
      </c>
      <c r="L1324" t="s">
        <v>22</v>
      </c>
      <c r="M1324" s="1">
        <v>38404</v>
      </c>
      <c r="N1324">
        <v>2005</v>
      </c>
    </row>
    <row r="1325" spans="1:14">
      <c r="A1325" t="s">
        <v>14</v>
      </c>
      <c r="B1325" t="str">
        <f>"121906200400"</f>
        <v>121906200400</v>
      </c>
      <c r="C1325" t="s">
        <v>1454</v>
      </c>
      <c r="D1325" t="s">
        <v>58</v>
      </c>
      <c r="G1325" t="s">
        <v>32</v>
      </c>
      <c r="H1325" t="s">
        <v>33</v>
      </c>
      <c r="I1325" t="s">
        <v>76</v>
      </c>
      <c r="J1325" t="s">
        <v>77</v>
      </c>
      <c r="K1325" t="s">
        <v>134</v>
      </c>
      <c r="L1325" t="s">
        <v>22</v>
      </c>
      <c r="M1325" s="1">
        <v>38157</v>
      </c>
      <c r="N1325">
        <v>2004</v>
      </c>
    </row>
    <row r="1326" spans="1:14">
      <c r="A1326" t="s">
        <v>14</v>
      </c>
      <c r="B1326" t="str">
        <f>"122204200500"</f>
        <v>122204200500</v>
      </c>
      <c r="C1326" t="s">
        <v>1706</v>
      </c>
      <c r="D1326" t="s">
        <v>205</v>
      </c>
      <c r="G1326" t="s">
        <v>32</v>
      </c>
      <c r="H1326" t="s">
        <v>33</v>
      </c>
      <c r="I1326" t="s">
        <v>76</v>
      </c>
      <c r="J1326" t="s">
        <v>77</v>
      </c>
      <c r="K1326" t="s">
        <v>134</v>
      </c>
      <c r="L1326" t="s">
        <v>22</v>
      </c>
      <c r="M1326" s="1">
        <v>38464</v>
      </c>
      <c r="N1326">
        <v>2005</v>
      </c>
    </row>
    <row r="1327" spans="1:14">
      <c r="A1327" t="s">
        <v>14</v>
      </c>
      <c r="B1327" t="str">
        <f>"122407200400"</f>
        <v>122407200400</v>
      </c>
      <c r="C1327" t="s">
        <v>1852</v>
      </c>
      <c r="D1327" t="s">
        <v>493</v>
      </c>
      <c r="G1327" t="s">
        <v>32</v>
      </c>
      <c r="H1327" t="s">
        <v>33</v>
      </c>
      <c r="I1327" t="s">
        <v>76</v>
      </c>
      <c r="J1327" t="s">
        <v>77</v>
      </c>
      <c r="K1327" t="s">
        <v>134</v>
      </c>
      <c r="L1327" t="s">
        <v>22</v>
      </c>
      <c r="M1327" s="1">
        <v>38192</v>
      </c>
      <c r="N1327">
        <v>2004</v>
      </c>
    </row>
    <row r="1328" spans="1:14">
      <c r="A1328" t="s">
        <v>14</v>
      </c>
      <c r="B1328" t="str">
        <f>"122503200502"</f>
        <v>122503200502</v>
      </c>
      <c r="C1328" t="s">
        <v>1916</v>
      </c>
      <c r="D1328" t="s">
        <v>448</v>
      </c>
      <c r="G1328" t="s">
        <v>32</v>
      </c>
      <c r="H1328" t="s">
        <v>33</v>
      </c>
      <c r="I1328" t="s">
        <v>76</v>
      </c>
      <c r="J1328" t="s">
        <v>77</v>
      </c>
      <c r="K1328" t="s">
        <v>134</v>
      </c>
      <c r="L1328" t="s">
        <v>22</v>
      </c>
      <c r="M1328" s="1">
        <v>38436</v>
      </c>
      <c r="N1328">
        <v>2005</v>
      </c>
    </row>
    <row r="1329" spans="1:14">
      <c r="A1329" t="s">
        <v>14</v>
      </c>
      <c r="B1329" t="str">
        <f>"120311200500"</f>
        <v>120311200500</v>
      </c>
      <c r="C1329" t="s">
        <v>2705</v>
      </c>
      <c r="D1329" t="s">
        <v>2706</v>
      </c>
      <c r="G1329" t="s">
        <v>32</v>
      </c>
      <c r="H1329" t="s">
        <v>33</v>
      </c>
      <c r="I1329" t="s">
        <v>76</v>
      </c>
      <c r="J1329" t="s">
        <v>77</v>
      </c>
      <c r="K1329" t="s">
        <v>134</v>
      </c>
      <c r="M1329" s="1">
        <v>38659</v>
      </c>
      <c r="N1329">
        <v>2005</v>
      </c>
    </row>
    <row r="1330" spans="1:14">
      <c r="A1330" t="s">
        <v>14</v>
      </c>
      <c r="B1330" t="str">
        <f>"121201200400"</f>
        <v>121201200400</v>
      </c>
      <c r="C1330" t="s">
        <v>2876</v>
      </c>
      <c r="D1330" t="s">
        <v>143</v>
      </c>
      <c r="G1330" t="s">
        <v>32</v>
      </c>
      <c r="H1330" t="s">
        <v>33</v>
      </c>
      <c r="I1330" t="s">
        <v>76</v>
      </c>
      <c r="J1330" t="s">
        <v>77</v>
      </c>
      <c r="K1330" t="s">
        <v>351</v>
      </c>
      <c r="L1330" t="s">
        <v>22</v>
      </c>
      <c r="M1330" s="1">
        <v>37998</v>
      </c>
      <c r="N1330">
        <v>2004</v>
      </c>
    </row>
    <row r="1331" spans="1:14">
      <c r="A1331" t="s">
        <v>14</v>
      </c>
      <c r="B1331" t="str">
        <f>"120206200300"</f>
        <v>120206200300</v>
      </c>
      <c r="C1331" t="s">
        <v>126</v>
      </c>
      <c r="D1331" t="s">
        <v>127</v>
      </c>
      <c r="G1331" t="s">
        <v>32</v>
      </c>
      <c r="H1331" t="s">
        <v>65</v>
      </c>
      <c r="I1331" t="s">
        <v>76</v>
      </c>
      <c r="J1331" t="s">
        <v>77</v>
      </c>
      <c r="K1331" t="s">
        <v>78</v>
      </c>
      <c r="L1331" t="s">
        <v>63</v>
      </c>
      <c r="M1331" s="1">
        <v>37774</v>
      </c>
      <c r="N1331">
        <v>2003</v>
      </c>
    </row>
    <row r="1332" spans="1:14">
      <c r="A1332" t="s">
        <v>14</v>
      </c>
      <c r="B1332" t="str">
        <f>"122806200301"</f>
        <v>122806200301</v>
      </c>
      <c r="C1332" t="s">
        <v>222</v>
      </c>
      <c r="D1332" t="s">
        <v>223</v>
      </c>
      <c r="G1332" t="s">
        <v>32</v>
      </c>
      <c r="H1332" t="s">
        <v>65</v>
      </c>
      <c r="I1332" t="s">
        <v>76</v>
      </c>
      <c r="J1332" t="s">
        <v>77</v>
      </c>
      <c r="K1332" t="s">
        <v>134</v>
      </c>
      <c r="M1332" s="1">
        <v>37800</v>
      </c>
      <c r="N1332">
        <v>2003</v>
      </c>
    </row>
    <row r="1333" spans="1:14">
      <c r="A1333" t="s">
        <v>14</v>
      </c>
      <c r="B1333" t="str">
        <f>"122205200300"</f>
        <v>122205200300</v>
      </c>
      <c r="C1333" t="s">
        <v>649</v>
      </c>
      <c r="D1333" t="s">
        <v>58</v>
      </c>
      <c r="G1333" t="s">
        <v>32</v>
      </c>
      <c r="H1333" t="s">
        <v>65</v>
      </c>
      <c r="I1333" t="s">
        <v>76</v>
      </c>
      <c r="J1333" t="s">
        <v>77</v>
      </c>
      <c r="K1333" t="s">
        <v>78</v>
      </c>
      <c r="M1333" s="1">
        <v>37763</v>
      </c>
      <c r="N1333">
        <v>2003</v>
      </c>
    </row>
    <row r="1334" spans="1:14">
      <c r="A1334" t="s">
        <v>14</v>
      </c>
      <c r="B1334" t="str">
        <f>"122705200200"</f>
        <v>122705200200</v>
      </c>
      <c r="C1334" t="s">
        <v>883</v>
      </c>
      <c r="D1334" t="s">
        <v>884</v>
      </c>
      <c r="G1334" t="s">
        <v>32</v>
      </c>
      <c r="H1334" t="s">
        <v>65</v>
      </c>
      <c r="I1334" t="s">
        <v>76</v>
      </c>
      <c r="J1334" t="s">
        <v>77</v>
      </c>
      <c r="K1334" t="s">
        <v>78</v>
      </c>
      <c r="L1334" t="s">
        <v>22</v>
      </c>
      <c r="M1334" s="1">
        <v>37403</v>
      </c>
      <c r="N1334">
        <v>2002</v>
      </c>
    </row>
    <row r="1335" spans="1:14">
      <c r="A1335" t="s">
        <v>14</v>
      </c>
      <c r="B1335" t="str">
        <f>"121710200300"</f>
        <v>121710200300</v>
      </c>
      <c r="C1335" t="s">
        <v>1056</v>
      </c>
      <c r="D1335" t="s">
        <v>380</v>
      </c>
      <c r="G1335" t="s">
        <v>32</v>
      </c>
      <c r="H1335" t="s">
        <v>65</v>
      </c>
      <c r="I1335" t="s">
        <v>76</v>
      </c>
      <c r="J1335" t="s">
        <v>77</v>
      </c>
      <c r="K1335" t="s">
        <v>134</v>
      </c>
      <c r="L1335" t="s">
        <v>22</v>
      </c>
      <c r="M1335" s="1">
        <v>37911</v>
      </c>
      <c r="N1335">
        <v>2003</v>
      </c>
    </row>
    <row r="1336" spans="1:14">
      <c r="A1336" t="s">
        <v>14</v>
      </c>
      <c r="B1336" t="str">
        <f>"121004200300"</f>
        <v>121004200300</v>
      </c>
      <c r="C1336" t="s">
        <v>1229</v>
      </c>
      <c r="D1336" t="s">
        <v>152</v>
      </c>
      <c r="G1336" t="s">
        <v>32</v>
      </c>
      <c r="H1336" t="s">
        <v>65</v>
      </c>
      <c r="I1336" t="s">
        <v>76</v>
      </c>
      <c r="J1336" t="s">
        <v>77</v>
      </c>
      <c r="K1336" t="s">
        <v>134</v>
      </c>
      <c r="M1336" s="1">
        <v>37721</v>
      </c>
      <c r="N1336">
        <v>2003</v>
      </c>
    </row>
    <row r="1337" spans="1:14">
      <c r="A1337" t="s">
        <v>14</v>
      </c>
      <c r="B1337" t="str">
        <f>"122006200301"</f>
        <v>122006200301</v>
      </c>
      <c r="C1337" t="s">
        <v>1255</v>
      </c>
      <c r="D1337" t="s">
        <v>1256</v>
      </c>
      <c r="G1337" t="s">
        <v>32</v>
      </c>
      <c r="H1337" t="s">
        <v>65</v>
      </c>
      <c r="I1337" t="s">
        <v>76</v>
      </c>
      <c r="J1337" t="s">
        <v>77</v>
      </c>
      <c r="K1337" t="s">
        <v>640</v>
      </c>
      <c r="M1337" s="1">
        <v>37792</v>
      </c>
      <c r="N1337">
        <v>2003</v>
      </c>
    </row>
    <row r="1338" spans="1:14">
      <c r="A1338" t="s">
        <v>14</v>
      </c>
      <c r="B1338" t="str">
        <f>"121903200200"</f>
        <v>121903200200</v>
      </c>
      <c r="C1338" t="s">
        <v>1521</v>
      </c>
      <c r="D1338" t="s">
        <v>1005</v>
      </c>
      <c r="G1338" t="s">
        <v>32</v>
      </c>
      <c r="H1338" t="s">
        <v>65</v>
      </c>
      <c r="I1338" t="s">
        <v>76</v>
      </c>
      <c r="J1338" t="s">
        <v>77</v>
      </c>
      <c r="K1338" t="s">
        <v>78</v>
      </c>
      <c r="M1338" s="1">
        <v>37334</v>
      </c>
      <c r="N1338">
        <v>2002</v>
      </c>
    </row>
    <row r="1339" spans="1:14">
      <c r="A1339" t="s">
        <v>14</v>
      </c>
      <c r="B1339" t="str">
        <f>"121006200301"</f>
        <v>121006200301</v>
      </c>
      <c r="C1339" t="s">
        <v>1636</v>
      </c>
      <c r="D1339" t="s">
        <v>1637</v>
      </c>
      <c r="G1339" t="s">
        <v>32</v>
      </c>
      <c r="H1339" t="s">
        <v>65</v>
      </c>
      <c r="I1339" t="s">
        <v>76</v>
      </c>
      <c r="J1339" t="s">
        <v>77</v>
      </c>
      <c r="K1339" t="s">
        <v>78</v>
      </c>
      <c r="L1339" t="s">
        <v>22</v>
      </c>
      <c r="M1339" s="1">
        <v>37782</v>
      </c>
      <c r="N1339">
        <v>2003</v>
      </c>
    </row>
    <row r="1340" spans="1:14">
      <c r="A1340" t="s">
        <v>14</v>
      </c>
      <c r="B1340" t="str">
        <f>"122710200201"</f>
        <v>122710200201</v>
      </c>
      <c r="C1340" t="s">
        <v>2650</v>
      </c>
      <c r="D1340" t="s">
        <v>58</v>
      </c>
      <c r="G1340" t="s">
        <v>32</v>
      </c>
      <c r="H1340" t="s">
        <v>65</v>
      </c>
      <c r="I1340" t="s">
        <v>76</v>
      </c>
      <c r="J1340" t="s">
        <v>77</v>
      </c>
      <c r="K1340" t="s">
        <v>78</v>
      </c>
      <c r="L1340" t="s">
        <v>22</v>
      </c>
      <c r="M1340" s="1">
        <v>37556</v>
      </c>
      <c r="N1340">
        <v>2002</v>
      </c>
    </row>
    <row r="1341" spans="1:14">
      <c r="A1341" t="s">
        <v>14</v>
      </c>
      <c r="B1341" t="str">
        <f>"120411200200"</f>
        <v>120411200200</v>
      </c>
      <c r="C1341" t="s">
        <v>2713</v>
      </c>
      <c r="D1341" t="s">
        <v>238</v>
      </c>
      <c r="G1341" t="s">
        <v>32</v>
      </c>
      <c r="H1341" t="s">
        <v>65</v>
      </c>
      <c r="I1341" t="s">
        <v>76</v>
      </c>
      <c r="J1341" t="s">
        <v>77</v>
      </c>
      <c r="K1341" t="s">
        <v>78</v>
      </c>
      <c r="M1341" s="1">
        <v>37564</v>
      </c>
      <c r="N1341">
        <v>2002</v>
      </c>
    </row>
    <row r="1342" spans="1:14">
      <c r="A1342" t="s">
        <v>14</v>
      </c>
      <c r="B1342" t="str">
        <f>"120809200200"</f>
        <v>120809200200</v>
      </c>
      <c r="C1342" t="s">
        <v>2736</v>
      </c>
      <c r="D1342" t="s">
        <v>31</v>
      </c>
      <c r="G1342" t="s">
        <v>32</v>
      </c>
      <c r="H1342" t="s">
        <v>65</v>
      </c>
      <c r="I1342" t="s">
        <v>76</v>
      </c>
      <c r="J1342" t="s">
        <v>77</v>
      </c>
      <c r="K1342" t="s">
        <v>78</v>
      </c>
      <c r="M1342" s="1">
        <v>37507</v>
      </c>
      <c r="N1342">
        <v>2002</v>
      </c>
    </row>
    <row r="1343" spans="1:14">
      <c r="A1343" t="s">
        <v>14</v>
      </c>
      <c r="B1343" t="str">
        <f>"121008200200"</f>
        <v>121008200200</v>
      </c>
      <c r="C1343" t="s">
        <v>2774</v>
      </c>
      <c r="D1343" t="s">
        <v>233</v>
      </c>
      <c r="G1343" t="s">
        <v>32</v>
      </c>
      <c r="H1343" t="s">
        <v>65</v>
      </c>
      <c r="I1343" t="s">
        <v>76</v>
      </c>
      <c r="J1343" t="s">
        <v>77</v>
      </c>
      <c r="K1343" t="s">
        <v>78</v>
      </c>
      <c r="M1343" s="1">
        <v>37478</v>
      </c>
      <c r="N1343">
        <v>2002</v>
      </c>
    </row>
    <row r="1344" spans="1:14">
      <c r="A1344" t="s">
        <v>14</v>
      </c>
      <c r="B1344" t="str">
        <f>"122705200300"</f>
        <v>122705200300</v>
      </c>
      <c r="C1344" t="s">
        <v>2777</v>
      </c>
      <c r="D1344" t="s">
        <v>609</v>
      </c>
      <c r="G1344" t="s">
        <v>32</v>
      </c>
      <c r="H1344" t="s">
        <v>65</v>
      </c>
      <c r="I1344" t="s">
        <v>76</v>
      </c>
      <c r="J1344" t="s">
        <v>77</v>
      </c>
      <c r="K1344" t="s">
        <v>640</v>
      </c>
      <c r="L1344" t="s">
        <v>22</v>
      </c>
      <c r="M1344" s="1">
        <v>37768</v>
      </c>
      <c r="N1344">
        <v>2003</v>
      </c>
    </row>
    <row r="1345" spans="1:14">
      <c r="A1345" t="s">
        <v>14</v>
      </c>
      <c r="B1345" t="str">
        <f>"120711200301"</f>
        <v>120711200301</v>
      </c>
      <c r="C1345" t="s">
        <v>2785</v>
      </c>
      <c r="D1345" t="s">
        <v>127</v>
      </c>
      <c r="G1345" t="s">
        <v>32</v>
      </c>
      <c r="H1345" t="s">
        <v>65</v>
      </c>
      <c r="I1345" t="s">
        <v>76</v>
      </c>
      <c r="J1345" t="s">
        <v>77</v>
      </c>
      <c r="K1345" t="s">
        <v>640</v>
      </c>
      <c r="M1345" s="1">
        <v>37932</v>
      </c>
      <c r="N1345">
        <v>2003</v>
      </c>
    </row>
    <row r="1346" spans="1:14">
      <c r="A1346" t="s">
        <v>14</v>
      </c>
      <c r="B1346" t="str">
        <f>"120402199700"</f>
        <v>120402199700</v>
      </c>
      <c r="C1346" t="s">
        <v>278</v>
      </c>
      <c r="D1346" t="s">
        <v>281</v>
      </c>
      <c r="G1346" t="s">
        <v>32</v>
      </c>
      <c r="H1346" t="s">
        <v>59</v>
      </c>
      <c r="I1346" t="s">
        <v>76</v>
      </c>
      <c r="J1346" t="s">
        <v>77</v>
      </c>
      <c r="K1346" t="s">
        <v>134</v>
      </c>
      <c r="L1346" t="s">
        <v>63</v>
      </c>
      <c r="M1346" s="1">
        <v>35465</v>
      </c>
      <c r="N1346">
        <v>1997</v>
      </c>
    </row>
    <row r="1347" spans="1:14">
      <c r="A1347" t="s">
        <v>14</v>
      </c>
      <c r="B1347" t="str">
        <f>"120208199500"</f>
        <v>120208199500</v>
      </c>
      <c r="C1347" t="s">
        <v>433</v>
      </c>
      <c r="D1347" t="s">
        <v>279</v>
      </c>
      <c r="G1347" t="s">
        <v>32</v>
      </c>
      <c r="H1347" t="s">
        <v>59</v>
      </c>
      <c r="I1347" t="s">
        <v>76</v>
      </c>
      <c r="J1347" t="s">
        <v>77</v>
      </c>
      <c r="K1347" t="s">
        <v>78</v>
      </c>
      <c r="L1347" t="s">
        <v>48</v>
      </c>
      <c r="M1347" s="1">
        <v>34913</v>
      </c>
      <c r="N1347">
        <v>1995</v>
      </c>
    </row>
    <row r="1348" spans="1:14">
      <c r="A1348" t="s">
        <v>14</v>
      </c>
      <c r="B1348" t="str">
        <f>"123107199000"</f>
        <v>123107199000</v>
      </c>
      <c r="C1348" t="s">
        <v>550</v>
      </c>
      <c r="D1348" t="s">
        <v>551</v>
      </c>
      <c r="G1348" t="s">
        <v>32</v>
      </c>
      <c r="H1348" t="s">
        <v>59</v>
      </c>
      <c r="I1348" t="s">
        <v>76</v>
      </c>
      <c r="J1348" t="s">
        <v>77</v>
      </c>
      <c r="K1348" t="s">
        <v>134</v>
      </c>
      <c r="L1348" t="s">
        <v>48</v>
      </c>
      <c r="M1348" s="1">
        <v>33085</v>
      </c>
      <c r="N1348">
        <v>1990</v>
      </c>
    </row>
    <row r="1349" spans="1:14">
      <c r="A1349" t="s">
        <v>14</v>
      </c>
      <c r="B1349" t="str">
        <f>"122904199700"</f>
        <v>122904199700</v>
      </c>
      <c r="C1349" t="s">
        <v>646</v>
      </c>
      <c r="D1349" t="s">
        <v>648</v>
      </c>
      <c r="G1349" t="s">
        <v>32</v>
      </c>
      <c r="H1349" t="s">
        <v>59</v>
      </c>
      <c r="I1349" t="s">
        <v>76</v>
      </c>
      <c r="J1349" t="s">
        <v>77</v>
      </c>
      <c r="K1349" t="s">
        <v>78</v>
      </c>
      <c r="L1349" t="s">
        <v>63</v>
      </c>
      <c r="M1349" s="1">
        <v>35549</v>
      </c>
      <c r="N1349">
        <v>1997</v>
      </c>
    </row>
    <row r="1350" spans="1:14">
      <c r="A1350" t="s">
        <v>14</v>
      </c>
      <c r="B1350" t="str">
        <f>"120212199800"</f>
        <v>120212199800</v>
      </c>
      <c r="C1350" t="s">
        <v>1075</v>
      </c>
      <c r="D1350" t="s">
        <v>188</v>
      </c>
      <c r="G1350" t="s">
        <v>32</v>
      </c>
      <c r="H1350" t="s">
        <v>59</v>
      </c>
      <c r="I1350" t="s">
        <v>76</v>
      </c>
      <c r="J1350" t="s">
        <v>77</v>
      </c>
      <c r="K1350" t="s">
        <v>78</v>
      </c>
      <c r="L1350" t="s">
        <v>22</v>
      </c>
      <c r="M1350" s="1">
        <v>36131</v>
      </c>
      <c r="N1350">
        <v>1998</v>
      </c>
    </row>
    <row r="1351" spans="1:14">
      <c r="A1351" t="s">
        <v>14</v>
      </c>
      <c r="B1351" t="str">
        <f>"120609199800"</f>
        <v>120609199800</v>
      </c>
      <c r="C1351" t="s">
        <v>1312</v>
      </c>
      <c r="D1351" t="s">
        <v>1313</v>
      </c>
      <c r="G1351" t="s">
        <v>32</v>
      </c>
      <c r="H1351" t="s">
        <v>59</v>
      </c>
      <c r="I1351" t="s">
        <v>76</v>
      </c>
      <c r="J1351" t="s">
        <v>77</v>
      </c>
      <c r="K1351" t="s">
        <v>78</v>
      </c>
      <c r="L1351" t="s">
        <v>202</v>
      </c>
      <c r="M1351" s="1">
        <v>36044</v>
      </c>
      <c r="N1351">
        <v>1998</v>
      </c>
    </row>
    <row r="1352" spans="1:14">
      <c r="A1352" t="s">
        <v>14</v>
      </c>
      <c r="B1352" t="str">
        <f>"121504199500"</f>
        <v>121504199500</v>
      </c>
      <c r="C1352" t="s">
        <v>1400</v>
      </c>
      <c r="D1352" t="s">
        <v>194</v>
      </c>
      <c r="G1352" t="s">
        <v>32</v>
      </c>
      <c r="H1352" t="s">
        <v>59</v>
      </c>
      <c r="I1352" t="s">
        <v>76</v>
      </c>
      <c r="J1352" t="s">
        <v>77</v>
      </c>
      <c r="K1352" t="s">
        <v>78</v>
      </c>
      <c r="L1352" t="s">
        <v>48</v>
      </c>
      <c r="M1352" s="1">
        <v>34804</v>
      </c>
      <c r="N1352">
        <v>1995</v>
      </c>
    </row>
    <row r="1353" spans="1:14">
      <c r="A1353" t="s">
        <v>14</v>
      </c>
      <c r="B1353" t="str">
        <f>"121406199200"</f>
        <v>121406199200</v>
      </c>
      <c r="C1353" t="s">
        <v>1437</v>
      </c>
      <c r="D1353" t="s">
        <v>353</v>
      </c>
      <c r="G1353" t="s">
        <v>32</v>
      </c>
      <c r="H1353" t="s">
        <v>59</v>
      </c>
      <c r="I1353" t="s">
        <v>76</v>
      </c>
      <c r="J1353" t="s">
        <v>77</v>
      </c>
      <c r="K1353" t="s">
        <v>351</v>
      </c>
      <c r="L1353" t="s">
        <v>48</v>
      </c>
      <c r="M1353" s="1">
        <v>33769</v>
      </c>
      <c r="N1353">
        <v>1992</v>
      </c>
    </row>
    <row r="1354" spans="1:14">
      <c r="A1354" t="s">
        <v>14</v>
      </c>
      <c r="B1354" t="str">
        <f>"122109199800"</f>
        <v>122109199800</v>
      </c>
      <c r="C1354" t="s">
        <v>1763</v>
      </c>
      <c r="D1354" t="s">
        <v>1764</v>
      </c>
      <c r="G1354" t="s">
        <v>32</v>
      </c>
      <c r="H1354" t="s">
        <v>59</v>
      </c>
      <c r="I1354" t="s">
        <v>76</v>
      </c>
      <c r="J1354" t="s">
        <v>77</v>
      </c>
      <c r="K1354" t="s">
        <v>78</v>
      </c>
      <c r="L1354" t="s">
        <v>22</v>
      </c>
      <c r="M1354" s="1">
        <v>36059</v>
      </c>
      <c r="N1354">
        <v>1998</v>
      </c>
    </row>
    <row r="1355" spans="1:14">
      <c r="A1355" t="s">
        <v>14</v>
      </c>
      <c r="B1355" t="str">
        <f>"120104199300"</f>
        <v>120104199300</v>
      </c>
      <c r="C1355" t="s">
        <v>1897</v>
      </c>
      <c r="D1355" t="s">
        <v>58</v>
      </c>
      <c r="G1355" t="s">
        <v>32</v>
      </c>
      <c r="H1355" t="s">
        <v>59</v>
      </c>
      <c r="I1355" t="s">
        <v>76</v>
      </c>
      <c r="J1355" t="s">
        <v>77</v>
      </c>
      <c r="K1355" t="s">
        <v>1898</v>
      </c>
      <c r="L1355" t="s">
        <v>48</v>
      </c>
      <c r="M1355" s="1">
        <v>34060</v>
      </c>
      <c r="N1355">
        <v>1993</v>
      </c>
    </row>
    <row r="1356" spans="1:14">
      <c r="A1356" t="s">
        <v>14</v>
      </c>
      <c r="B1356" t="str">
        <f>"120905199601"</f>
        <v>120905199601</v>
      </c>
      <c r="C1356" t="s">
        <v>2639</v>
      </c>
      <c r="D1356" t="s">
        <v>234</v>
      </c>
      <c r="G1356" t="s">
        <v>32</v>
      </c>
      <c r="H1356" t="s">
        <v>59</v>
      </c>
      <c r="I1356" t="s">
        <v>76</v>
      </c>
      <c r="J1356" t="s">
        <v>77</v>
      </c>
      <c r="K1356" t="s">
        <v>78</v>
      </c>
      <c r="L1356" t="s">
        <v>48</v>
      </c>
      <c r="M1356" s="1">
        <v>35194</v>
      </c>
      <c r="N1356">
        <v>1996</v>
      </c>
    </row>
    <row r="1357" spans="1:14">
      <c r="A1357" t="s">
        <v>14</v>
      </c>
      <c r="B1357" t="str">
        <f>"120106199902"</f>
        <v>120106199902</v>
      </c>
      <c r="C1357" t="s">
        <v>74</v>
      </c>
      <c r="D1357" t="s">
        <v>75</v>
      </c>
      <c r="G1357" t="s">
        <v>32</v>
      </c>
      <c r="H1357" t="s">
        <v>44</v>
      </c>
      <c r="I1357" t="s">
        <v>76</v>
      </c>
      <c r="J1357" t="s">
        <v>77</v>
      </c>
      <c r="K1357" t="s">
        <v>78</v>
      </c>
      <c r="L1357" t="s">
        <v>63</v>
      </c>
      <c r="M1357" s="1">
        <v>36312</v>
      </c>
      <c r="N1357">
        <v>1999</v>
      </c>
    </row>
    <row r="1358" spans="1:14">
      <c r="A1358" t="s">
        <v>14</v>
      </c>
      <c r="B1358" t="str">
        <f>"121710200100"</f>
        <v>121710200100</v>
      </c>
      <c r="C1358" t="s">
        <v>416</v>
      </c>
      <c r="D1358" t="s">
        <v>58</v>
      </c>
      <c r="G1358" t="s">
        <v>32</v>
      </c>
      <c r="H1358" t="s">
        <v>44</v>
      </c>
      <c r="I1358" t="s">
        <v>76</v>
      </c>
      <c r="J1358" t="s">
        <v>77</v>
      </c>
      <c r="K1358" t="s">
        <v>78</v>
      </c>
      <c r="M1358" s="1">
        <v>37181</v>
      </c>
      <c r="N1358">
        <v>2001</v>
      </c>
    </row>
    <row r="1359" spans="1:14">
      <c r="A1359" t="s">
        <v>14</v>
      </c>
      <c r="B1359" t="str">
        <f>"121506199900"</f>
        <v>121506199900</v>
      </c>
      <c r="C1359" t="s">
        <v>1007</v>
      </c>
      <c r="D1359" t="s">
        <v>184</v>
      </c>
      <c r="G1359" t="s">
        <v>32</v>
      </c>
      <c r="H1359" t="s">
        <v>44</v>
      </c>
      <c r="I1359" t="s">
        <v>76</v>
      </c>
      <c r="J1359" t="s">
        <v>77</v>
      </c>
      <c r="K1359" t="s">
        <v>134</v>
      </c>
      <c r="L1359" t="s">
        <v>63</v>
      </c>
      <c r="M1359" s="1">
        <v>36326</v>
      </c>
      <c r="N1359">
        <v>1999</v>
      </c>
    </row>
    <row r="1360" spans="1:14">
      <c r="A1360" t="s">
        <v>14</v>
      </c>
      <c r="B1360" t="str">
        <f>"121410200000"</f>
        <v>121410200000</v>
      </c>
      <c r="C1360" t="s">
        <v>1039</v>
      </c>
      <c r="D1360" t="s">
        <v>233</v>
      </c>
      <c r="G1360" t="s">
        <v>32</v>
      </c>
      <c r="H1360" t="s">
        <v>44</v>
      </c>
      <c r="I1360" t="s">
        <v>76</v>
      </c>
      <c r="J1360" t="s">
        <v>77</v>
      </c>
      <c r="K1360" t="s">
        <v>78</v>
      </c>
      <c r="L1360" t="s">
        <v>22</v>
      </c>
      <c r="M1360" s="1">
        <v>36813</v>
      </c>
      <c r="N1360">
        <v>2000</v>
      </c>
    </row>
    <row r="1361" spans="1:14">
      <c r="A1361" t="s">
        <v>14</v>
      </c>
      <c r="B1361" t="str">
        <f>"123107199900"</f>
        <v>123107199900</v>
      </c>
      <c r="C1361" t="s">
        <v>1068</v>
      </c>
      <c r="D1361" t="s">
        <v>310</v>
      </c>
      <c r="G1361" t="s">
        <v>32</v>
      </c>
      <c r="H1361" t="s">
        <v>44</v>
      </c>
      <c r="I1361" t="s">
        <v>76</v>
      </c>
      <c r="J1361" t="s">
        <v>77</v>
      </c>
      <c r="K1361" t="s">
        <v>78</v>
      </c>
      <c r="M1361" s="1">
        <v>36372</v>
      </c>
      <c r="N1361">
        <v>1999</v>
      </c>
    </row>
    <row r="1362" spans="1:14">
      <c r="A1362" t="s">
        <v>14</v>
      </c>
      <c r="B1362" t="str">
        <f>"120512199900"</f>
        <v>120512199900</v>
      </c>
      <c r="C1362" t="s">
        <v>1240</v>
      </c>
      <c r="D1362" t="s">
        <v>609</v>
      </c>
      <c r="G1362" t="s">
        <v>32</v>
      </c>
      <c r="H1362" t="s">
        <v>44</v>
      </c>
      <c r="I1362" t="s">
        <v>76</v>
      </c>
      <c r="J1362" t="s">
        <v>77</v>
      </c>
      <c r="K1362" t="s">
        <v>78</v>
      </c>
      <c r="L1362" t="s">
        <v>22</v>
      </c>
      <c r="M1362" s="1">
        <v>36499</v>
      </c>
      <c r="N1362">
        <v>1999</v>
      </c>
    </row>
    <row r="1363" spans="1:14">
      <c r="A1363" t="s">
        <v>14</v>
      </c>
      <c r="B1363" t="str">
        <f>"122211200103"</f>
        <v>122211200103</v>
      </c>
      <c r="C1363" t="s">
        <v>1337</v>
      </c>
      <c r="D1363" t="s">
        <v>310</v>
      </c>
      <c r="G1363" t="s">
        <v>32</v>
      </c>
      <c r="H1363" t="s">
        <v>44</v>
      </c>
      <c r="I1363" t="s">
        <v>76</v>
      </c>
      <c r="J1363" t="s">
        <v>77</v>
      </c>
      <c r="K1363" t="s">
        <v>78</v>
      </c>
      <c r="M1363" s="1">
        <v>37217</v>
      </c>
      <c r="N1363">
        <v>2001</v>
      </c>
    </row>
    <row r="1364" spans="1:14">
      <c r="A1364" t="s">
        <v>14</v>
      </c>
      <c r="B1364" t="str">
        <f>"121808200101"</f>
        <v>121808200101</v>
      </c>
      <c r="C1364" t="s">
        <v>1368</v>
      </c>
      <c r="D1364" t="s">
        <v>249</v>
      </c>
      <c r="G1364" t="s">
        <v>32</v>
      </c>
      <c r="H1364" t="s">
        <v>44</v>
      </c>
      <c r="I1364" t="s">
        <v>76</v>
      </c>
      <c r="J1364" t="s">
        <v>77</v>
      </c>
      <c r="K1364" t="s">
        <v>78</v>
      </c>
      <c r="L1364" t="s">
        <v>63</v>
      </c>
      <c r="M1364" s="1">
        <v>37121</v>
      </c>
      <c r="N1364">
        <v>2001</v>
      </c>
    </row>
    <row r="1365" spans="1:14">
      <c r="A1365" t="s">
        <v>14</v>
      </c>
      <c r="B1365" t="str">
        <f>"123008199902"</f>
        <v>123008199902</v>
      </c>
      <c r="C1365" t="s">
        <v>1400</v>
      </c>
      <c r="D1365" t="s">
        <v>232</v>
      </c>
      <c r="G1365" t="s">
        <v>32</v>
      </c>
      <c r="H1365" t="s">
        <v>44</v>
      </c>
      <c r="I1365" t="s">
        <v>76</v>
      </c>
      <c r="J1365" t="s">
        <v>77</v>
      </c>
      <c r="K1365" t="s">
        <v>78</v>
      </c>
      <c r="L1365" t="s">
        <v>63</v>
      </c>
      <c r="M1365" s="1">
        <v>36402</v>
      </c>
      <c r="N1365">
        <v>1999</v>
      </c>
    </row>
    <row r="1366" spans="1:14">
      <c r="A1366" t="s">
        <v>14</v>
      </c>
      <c r="B1366" t="str">
        <f>"120805200000"</f>
        <v>120805200000</v>
      </c>
      <c r="C1366" t="s">
        <v>1674</v>
      </c>
      <c r="D1366" t="s">
        <v>127</v>
      </c>
      <c r="G1366" t="s">
        <v>32</v>
      </c>
      <c r="H1366" t="s">
        <v>44</v>
      </c>
      <c r="I1366" t="s">
        <v>76</v>
      </c>
      <c r="J1366" t="s">
        <v>77</v>
      </c>
      <c r="K1366" t="s">
        <v>78</v>
      </c>
      <c r="M1366" s="1">
        <v>36654</v>
      </c>
      <c r="N1366">
        <v>2000</v>
      </c>
    </row>
    <row r="1367" spans="1:14">
      <c r="A1367" t="s">
        <v>14</v>
      </c>
      <c r="B1367" t="str">
        <f>"122407200101"</f>
        <v>122407200101</v>
      </c>
      <c r="C1367" t="s">
        <v>1695</v>
      </c>
      <c r="D1367" t="s">
        <v>611</v>
      </c>
      <c r="G1367" t="s">
        <v>32</v>
      </c>
      <c r="H1367" t="s">
        <v>44</v>
      </c>
      <c r="I1367" t="s">
        <v>76</v>
      </c>
      <c r="J1367" t="s">
        <v>77</v>
      </c>
      <c r="K1367" t="s">
        <v>78</v>
      </c>
      <c r="L1367" t="s">
        <v>63</v>
      </c>
      <c r="M1367" s="1">
        <v>37096</v>
      </c>
      <c r="N1367">
        <v>2001</v>
      </c>
    </row>
    <row r="1368" spans="1:14">
      <c r="A1368" t="s">
        <v>14</v>
      </c>
      <c r="B1368" t="str">
        <f>"122805200001"</f>
        <v>122805200001</v>
      </c>
      <c r="C1368" t="s">
        <v>1909</v>
      </c>
      <c r="D1368" t="s">
        <v>353</v>
      </c>
      <c r="G1368" t="s">
        <v>32</v>
      </c>
      <c r="H1368" t="s">
        <v>44</v>
      </c>
      <c r="I1368" t="s">
        <v>76</v>
      </c>
      <c r="J1368" t="s">
        <v>77</v>
      </c>
      <c r="K1368" t="s">
        <v>78</v>
      </c>
      <c r="L1368" t="s">
        <v>22</v>
      </c>
      <c r="M1368" s="1">
        <v>36674</v>
      </c>
      <c r="N1368">
        <v>2000</v>
      </c>
    </row>
    <row r="1369" spans="1:14">
      <c r="A1369" t="s">
        <v>14</v>
      </c>
      <c r="B1369" t="str">
        <f>"120209200000"</f>
        <v>120209200000</v>
      </c>
      <c r="C1369" t="s">
        <v>1940</v>
      </c>
      <c r="D1369" t="s">
        <v>609</v>
      </c>
      <c r="G1369" t="s">
        <v>32</v>
      </c>
      <c r="H1369" t="s">
        <v>44</v>
      </c>
      <c r="I1369" t="s">
        <v>76</v>
      </c>
      <c r="J1369" t="s">
        <v>77</v>
      </c>
      <c r="K1369" t="s">
        <v>78</v>
      </c>
      <c r="L1369" t="s">
        <v>22</v>
      </c>
      <c r="M1369" s="1">
        <v>36771</v>
      </c>
      <c r="N1369">
        <v>2000</v>
      </c>
    </row>
    <row r="1370" spans="1:14">
      <c r="A1370" t="s">
        <v>14</v>
      </c>
      <c r="B1370" t="str">
        <f>"121405200000"</f>
        <v>121405200000</v>
      </c>
      <c r="C1370" t="s">
        <v>2011</v>
      </c>
      <c r="D1370" t="s">
        <v>2012</v>
      </c>
      <c r="G1370" t="s">
        <v>32</v>
      </c>
      <c r="H1370" t="s">
        <v>44</v>
      </c>
      <c r="I1370" t="s">
        <v>76</v>
      </c>
      <c r="J1370" t="s">
        <v>77</v>
      </c>
      <c r="K1370" t="s">
        <v>78</v>
      </c>
      <c r="L1370" t="s">
        <v>22</v>
      </c>
      <c r="M1370" s="1">
        <v>36660</v>
      </c>
      <c r="N1370">
        <v>2000</v>
      </c>
    </row>
    <row r="1371" spans="1:14">
      <c r="A1371" t="s">
        <v>14</v>
      </c>
      <c r="B1371" t="str">
        <f>"121810200000"</f>
        <v>121810200000</v>
      </c>
      <c r="C1371" t="s">
        <v>2254</v>
      </c>
      <c r="D1371" t="s">
        <v>380</v>
      </c>
      <c r="G1371" t="s">
        <v>32</v>
      </c>
      <c r="H1371" t="s">
        <v>44</v>
      </c>
      <c r="I1371" t="s">
        <v>76</v>
      </c>
      <c r="J1371" t="s">
        <v>77</v>
      </c>
      <c r="K1371" t="s">
        <v>78</v>
      </c>
      <c r="M1371" s="1">
        <v>36817</v>
      </c>
      <c r="N1371">
        <v>2000</v>
      </c>
    </row>
    <row r="1372" spans="1:14">
      <c r="A1372" t="s">
        <v>14</v>
      </c>
      <c r="B1372" t="str">
        <f>"121807199901"</f>
        <v>121807199901</v>
      </c>
      <c r="C1372" t="s">
        <v>2382</v>
      </c>
      <c r="D1372" t="s">
        <v>203</v>
      </c>
      <c r="G1372" t="s">
        <v>32</v>
      </c>
      <c r="H1372" t="s">
        <v>44</v>
      </c>
      <c r="I1372" t="s">
        <v>76</v>
      </c>
      <c r="J1372" t="s">
        <v>77</v>
      </c>
      <c r="K1372" t="s">
        <v>78</v>
      </c>
      <c r="L1372" t="s">
        <v>63</v>
      </c>
      <c r="M1372" s="1">
        <v>36359</v>
      </c>
      <c r="N1372">
        <v>1999</v>
      </c>
    </row>
    <row r="1373" spans="1:14">
      <c r="A1373" t="s">
        <v>14</v>
      </c>
      <c r="B1373" t="str">
        <f>"122206199901"</f>
        <v>122206199901</v>
      </c>
      <c r="C1373" t="s">
        <v>2699</v>
      </c>
      <c r="D1373" t="s">
        <v>279</v>
      </c>
      <c r="G1373" t="s">
        <v>32</v>
      </c>
      <c r="H1373" t="s">
        <v>44</v>
      </c>
      <c r="I1373" t="s">
        <v>76</v>
      </c>
      <c r="J1373" t="s">
        <v>77</v>
      </c>
      <c r="K1373" t="s">
        <v>591</v>
      </c>
      <c r="M1373" s="1">
        <v>36333</v>
      </c>
      <c r="N1373">
        <v>1999</v>
      </c>
    </row>
    <row r="1374" spans="1:14">
      <c r="A1374" t="s">
        <v>14</v>
      </c>
      <c r="B1374" t="str">
        <f>"110208199100"</f>
        <v>110208199100</v>
      </c>
      <c r="C1374" t="s">
        <v>338</v>
      </c>
      <c r="D1374" t="s">
        <v>283</v>
      </c>
      <c r="G1374" t="s">
        <v>17</v>
      </c>
      <c r="H1374" t="s">
        <v>25</v>
      </c>
      <c r="I1374" t="s">
        <v>76</v>
      </c>
      <c r="J1374" t="s">
        <v>77</v>
      </c>
      <c r="K1374" t="s">
        <v>339</v>
      </c>
      <c r="L1374" t="s">
        <v>340</v>
      </c>
      <c r="M1374" s="1">
        <v>33452</v>
      </c>
      <c r="N1374">
        <v>1991</v>
      </c>
    </row>
    <row r="1375" spans="1:14">
      <c r="A1375" t="s">
        <v>14</v>
      </c>
      <c r="B1375" t="str">
        <f>"111410198600"</f>
        <v>111410198600</v>
      </c>
      <c r="C1375" t="s">
        <v>348</v>
      </c>
      <c r="D1375" t="s">
        <v>209</v>
      </c>
      <c r="G1375" t="s">
        <v>17</v>
      </c>
      <c r="H1375" t="s">
        <v>25</v>
      </c>
      <c r="I1375" t="s">
        <v>76</v>
      </c>
      <c r="J1375" t="s">
        <v>77</v>
      </c>
      <c r="K1375" t="s">
        <v>78</v>
      </c>
      <c r="L1375" t="s">
        <v>48</v>
      </c>
      <c r="M1375" s="1">
        <v>31699</v>
      </c>
      <c r="N1375">
        <v>1986</v>
      </c>
    </row>
    <row r="1376" spans="1:14">
      <c r="A1376" t="s">
        <v>14</v>
      </c>
      <c r="B1376" t="str">
        <f>"112709199601"</f>
        <v>112709199601</v>
      </c>
      <c r="C1376" t="s">
        <v>545</v>
      </c>
      <c r="D1376" t="s">
        <v>129</v>
      </c>
      <c r="G1376" t="s">
        <v>17</v>
      </c>
      <c r="H1376" t="s">
        <v>25</v>
      </c>
      <c r="I1376" t="s">
        <v>76</v>
      </c>
      <c r="J1376" t="s">
        <v>77</v>
      </c>
      <c r="K1376" t="s">
        <v>78</v>
      </c>
      <c r="M1376" s="1">
        <v>35335</v>
      </c>
      <c r="N1376">
        <v>1996</v>
      </c>
    </row>
    <row r="1377" spans="1:14">
      <c r="A1377" t="s">
        <v>14</v>
      </c>
      <c r="B1377" t="str">
        <f>"112805199801"</f>
        <v>112805199801</v>
      </c>
      <c r="C1377" t="s">
        <v>589</v>
      </c>
      <c r="D1377" t="s">
        <v>221</v>
      </c>
      <c r="G1377" t="s">
        <v>17</v>
      </c>
      <c r="H1377" t="s">
        <v>25</v>
      </c>
      <c r="I1377" t="s">
        <v>76</v>
      </c>
      <c r="J1377" t="s">
        <v>77</v>
      </c>
      <c r="K1377" t="s">
        <v>591</v>
      </c>
      <c r="L1377" t="s">
        <v>63</v>
      </c>
      <c r="M1377" s="1">
        <v>35943</v>
      </c>
      <c r="N1377">
        <v>1998</v>
      </c>
    </row>
    <row r="1378" spans="1:14">
      <c r="A1378" t="s">
        <v>14</v>
      </c>
      <c r="B1378" t="str">
        <f>"110902199300"</f>
        <v>110902199300</v>
      </c>
      <c r="C1378" t="s">
        <v>758</v>
      </c>
      <c r="D1378" t="s">
        <v>50</v>
      </c>
      <c r="G1378" t="s">
        <v>17</v>
      </c>
      <c r="H1378" t="s">
        <v>25</v>
      </c>
      <c r="I1378" t="s">
        <v>76</v>
      </c>
      <c r="J1378" t="s">
        <v>77</v>
      </c>
      <c r="K1378" t="s">
        <v>134</v>
      </c>
      <c r="L1378" t="s">
        <v>48</v>
      </c>
      <c r="M1378" s="1">
        <v>34009</v>
      </c>
      <c r="N1378">
        <v>1993</v>
      </c>
    </row>
    <row r="1379" spans="1:14">
      <c r="A1379" t="s">
        <v>14</v>
      </c>
      <c r="B1379" t="str">
        <f>"110405199600"</f>
        <v>110405199600</v>
      </c>
      <c r="C1379" t="s">
        <v>815</v>
      </c>
      <c r="D1379" t="s">
        <v>53</v>
      </c>
      <c r="G1379" t="s">
        <v>17</v>
      </c>
      <c r="H1379" t="s">
        <v>25</v>
      </c>
      <c r="I1379" t="s">
        <v>76</v>
      </c>
      <c r="J1379" t="s">
        <v>77</v>
      </c>
      <c r="K1379" t="s">
        <v>816</v>
      </c>
      <c r="L1379" t="s">
        <v>63</v>
      </c>
      <c r="M1379" s="1">
        <v>35189</v>
      </c>
      <c r="N1379">
        <v>1996</v>
      </c>
    </row>
    <row r="1380" spans="1:14">
      <c r="A1380" t="s">
        <v>14</v>
      </c>
      <c r="B1380" t="str">
        <f>"110501199600"</f>
        <v>110501199600</v>
      </c>
      <c r="C1380" t="s">
        <v>1014</v>
      </c>
      <c r="D1380" t="s">
        <v>534</v>
      </c>
      <c r="G1380" t="s">
        <v>17</v>
      </c>
      <c r="H1380" t="s">
        <v>25</v>
      </c>
      <c r="I1380" t="s">
        <v>76</v>
      </c>
      <c r="J1380" t="s">
        <v>77</v>
      </c>
      <c r="K1380" t="s">
        <v>134</v>
      </c>
      <c r="L1380" t="s">
        <v>48</v>
      </c>
      <c r="M1380" s="1">
        <v>35069</v>
      </c>
      <c r="N1380">
        <v>1996</v>
      </c>
    </row>
    <row r="1381" spans="1:14">
      <c r="A1381" t="s">
        <v>14</v>
      </c>
      <c r="B1381" t="str">
        <f>"112502198700"</f>
        <v>112502198700</v>
      </c>
      <c r="C1381" t="s">
        <v>1109</v>
      </c>
      <c r="D1381" t="s">
        <v>209</v>
      </c>
      <c r="G1381" t="s">
        <v>17</v>
      </c>
      <c r="H1381" t="s">
        <v>25</v>
      </c>
      <c r="I1381" t="s">
        <v>76</v>
      </c>
      <c r="J1381" t="s">
        <v>77</v>
      </c>
      <c r="K1381" t="s">
        <v>78</v>
      </c>
      <c r="L1381" t="s">
        <v>29</v>
      </c>
      <c r="M1381" s="1">
        <v>31833</v>
      </c>
      <c r="N1381">
        <v>1987</v>
      </c>
    </row>
    <row r="1382" spans="1:14">
      <c r="A1382" t="s">
        <v>14</v>
      </c>
      <c r="B1382" t="str">
        <f>"113011199803"</f>
        <v>113011199803</v>
      </c>
      <c r="C1382" t="s">
        <v>1191</v>
      </c>
      <c r="D1382" t="s">
        <v>305</v>
      </c>
      <c r="G1382" t="s">
        <v>17</v>
      </c>
      <c r="H1382" t="s">
        <v>25</v>
      </c>
      <c r="I1382" t="s">
        <v>76</v>
      </c>
      <c r="J1382" t="s">
        <v>77</v>
      </c>
      <c r="K1382" t="s">
        <v>78</v>
      </c>
      <c r="L1382" t="s">
        <v>63</v>
      </c>
      <c r="M1382" s="1">
        <v>36129</v>
      </c>
      <c r="N1382">
        <v>1998</v>
      </c>
    </row>
    <row r="1383" spans="1:14">
      <c r="A1383" t="s">
        <v>14</v>
      </c>
      <c r="B1383" t="str">
        <f>"112808198200"</f>
        <v>112808198200</v>
      </c>
      <c r="C1383" t="s">
        <v>1267</v>
      </c>
      <c r="D1383" t="s">
        <v>342</v>
      </c>
      <c r="G1383" t="s">
        <v>17</v>
      </c>
      <c r="H1383" t="s">
        <v>25</v>
      </c>
      <c r="I1383" t="s">
        <v>76</v>
      </c>
      <c r="J1383" t="s">
        <v>77</v>
      </c>
      <c r="K1383" t="s">
        <v>78</v>
      </c>
      <c r="L1383" t="s">
        <v>29</v>
      </c>
      <c r="M1383" s="1">
        <v>30191</v>
      </c>
      <c r="N1383">
        <v>1982</v>
      </c>
    </row>
    <row r="1384" spans="1:14">
      <c r="A1384" t="s">
        <v>14</v>
      </c>
      <c r="B1384" t="str">
        <f>"111108199800"</f>
        <v>111108199800</v>
      </c>
      <c r="C1384" t="s">
        <v>1372</v>
      </c>
      <c r="D1384" t="s">
        <v>344</v>
      </c>
      <c r="G1384" t="s">
        <v>17</v>
      </c>
      <c r="H1384" t="s">
        <v>25</v>
      </c>
      <c r="I1384" t="s">
        <v>76</v>
      </c>
      <c r="J1384" t="s">
        <v>77</v>
      </c>
      <c r="K1384" t="s">
        <v>78</v>
      </c>
      <c r="L1384" t="s">
        <v>202</v>
      </c>
      <c r="M1384" s="1">
        <v>36018</v>
      </c>
      <c r="N1384">
        <v>1998</v>
      </c>
    </row>
    <row r="1385" spans="1:14">
      <c r="A1385" t="s">
        <v>14</v>
      </c>
      <c r="B1385" t="str">
        <f>"112105199701"</f>
        <v>112105199701</v>
      </c>
      <c r="C1385" t="s">
        <v>1444</v>
      </c>
      <c r="D1385" t="s">
        <v>529</v>
      </c>
      <c r="G1385" t="s">
        <v>17</v>
      </c>
      <c r="H1385" t="s">
        <v>25</v>
      </c>
      <c r="I1385" t="s">
        <v>76</v>
      </c>
      <c r="J1385" t="s">
        <v>77</v>
      </c>
      <c r="K1385" t="s">
        <v>78</v>
      </c>
      <c r="L1385" t="s">
        <v>48</v>
      </c>
      <c r="M1385" s="1">
        <v>35571</v>
      </c>
      <c r="N1385">
        <v>1997</v>
      </c>
    </row>
    <row r="1386" spans="1:14">
      <c r="A1386" t="s">
        <v>14</v>
      </c>
      <c r="B1386" t="str">
        <f>"112604199800"</f>
        <v>112604199800</v>
      </c>
      <c r="C1386" t="s">
        <v>1493</v>
      </c>
      <c r="D1386" t="s">
        <v>24</v>
      </c>
      <c r="G1386" t="s">
        <v>17</v>
      </c>
      <c r="H1386" t="s">
        <v>25</v>
      </c>
      <c r="I1386" t="s">
        <v>76</v>
      </c>
      <c r="J1386" t="s">
        <v>77</v>
      </c>
      <c r="K1386" t="s">
        <v>78</v>
      </c>
      <c r="L1386" t="s">
        <v>63</v>
      </c>
      <c r="M1386" s="1">
        <v>35911</v>
      </c>
      <c r="N1386">
        <v>1998</v>
      </c>
    </row>
    <row r="1387" spans="1:14">
      <c r="A1387" t="s">
        <v>14</v>
      </c>
      <c r="B1387" t="str">
        <f>"112103199401"</f>
        <v>112103199401</v>
      </c>
      <c r="C1387" t="s">
        <v>1634</v>
      </c>
      <c r="D1387" t="s">
        <v>920</v>
      </c>
      <c r="G1387" t="s">
        <v>17</v>
      </c>
      <c r="H1387" t="s">
        <v>25</v>
      </c>
      <c r="I1387" t="s">
        <v>76</v>
      </c>
      <c r="J1387" t="s">
        <v>77</v>
      </c>
      <c r="K1387" t="s">
        <v>339</v>
      </c>
      <c r="L1387" t="s">
        <v>29</v>
      </c>
      <c r="M1387" s="1">
        <v>34414</v>
      </c>
      <c r="N1387">
        <v>1994</v>
      </c>
    </row>
    <row r="1388" spans="1:14">
      <c r="A1388" t="s">
        <v>14</v>
      </c>
      <c r="B1388" t="str">
        <f>"111501199700"</f>
        <v>111501199700</v>
      </c>
      <c r="C1388" t="s">
        <v>1646</v>
      </c>
      <c r="D1388" t="s">
        <v>209</v>
      </c>
      <c r="G1388" t="s">
        <v>17</v>
      </c>
      <c r="H1388" t="s">
        <v>25</v>
      </c>
      <c r="I1388" t="s">
        <v>76</v>
      </c>
      <c r="J1388" t="s">
        <v>77</v>
      </c>
      <c r="K1388" t="s">
        <v>134</v>
      </c>
      <c r="L1388" t="s">
        <v>63</v>
      </c>
      <c r="M1388" s="1">
        <v>35445</v>
      </c>
      <c r="N1388">
        <v>1997</v>
      </c>
    </row>
    <row r="1389" spans="1:14">
      <c r="A1389" t="s">
        <v>14</v>
      </c>
      <c r="B1389" t="str">
        <f>"110710199600"</f>
        <v>110710199600</v>
      </c>
      <c r="C1389" t="s">
        <v>1654</v>
      </c>
      <c r="D1389" t="s">
        <v>657</v>
      </c>
      <c r="G1389" t="s">
        <v>17</v>
      </c>
      <c r="H1389" t="s">
        <v>25</v>
      </c>
      <c r="I1389" t="s">
        <v>76</v>
      </c>
      <c r="J1389" t="s">
        <v>77</v>
      </c>
      <c r="K1389" t="s">
        <v>134</v>
      </c>
      <c r="L1389" t="s">
        <v>63</v>
      </c>
      <c r="M1389" s="1">
        <v>35345</v>
      </c>
      <c r="N1389">
        <v>1996</v>
      </c>
    </row>
    <row r="1390" spans="1:14">
      <c r="A1390" t="s">
        <v>14</v>
      </c>
      <c r="B1390" t="str">
        <f>"110105199801"</f>
        <v>110105199801</v>
      </c>
      <c r="C1390" t="s">
        <v>1697</v>
      </c>
      <c r="D1390" t="s">
        <v>70</v>
      </c>
      <c r="G1390" t="s">
        <v>17</v>
      </c>
      <c r="H1390" t="s">
        <v>25</v>
      </c>
      <c r="I1390" t="s">
        <v>76</v>
      </c>
      <c r="J1390" t="s">
        <v>77</v>
      </c>
      <c r="K1390" t="s">
        <v>640</v>
      </c>
      <c r="L1390" t="s">
        <v>22</v>
      </c>
      <c r="M1390" s="1">
        <v>35916</v>
      </c>
      <c r="N1390">
        <v>1998</v>
      </c>
    </row>
    <row r="1391" spans="1:14">
      <c r="A1391" t="s">
        <v>14</v>
      </c>
      <c r="B1391" t="str">
        <f>"110403199401"</f>
        <v>110403199401</v>
      </c>
      <c r="C1391" t="s">
        <v>1851</v>
      </c>
      <c r="D1391" t="s">
        <v>631</v>
      </c>
      <c r="G1391" t="s">
        <v>17</v>
      </c>
      <c r="H1391" t="s">
        <v>25</v>
      </c>
      <c r="I1391" t="s">
        <v>76</v>
      </c>
      <c r="J1391" t="s">
        <v>77</v>
      </c>
      <c r="K1391" t="s">
        <v>78</v>
      </c>
      <c r="L1391" t="s">
        <v>48</v>
      </c>
      <c r="M1391" s="1">
        <v>34397</v>
      </c>
      <c r="N1391">
        <v>1994</v>
      </c>
    </row>
    <row r="1392" spans="1:14">
      <c r="A1392" t="s">
        <v>14</v>
      </c>
      <c r="B1392" t="str">
        <f>"110711199101"</f>
        <v>110711199101</v>
      </c>
      <c r="C1392" t="s">
        <v>1911</v>
      </c>
      <c r="D1392" t="s">
        <v>920</v>
      </c>
      <c r="G1392" t="s">
        <v>17</v>
      </c>
      <c r="H1392" t="s">
        <v>25</v>
      </c>
      <c r="I1392" t="s">
        <v>76</v>
      </c>
      <c r="J1392" t="s">
        <v>77</v>
      </c>
      <c r="K1392" t="s">
        <v>816</v>
      </c>
      <c r="L1392" t="s">
        <v>48</v>
      </c>
      <c r="M1392" s="1">
        <v>33549</v>
      </c>
      <c r="N1392">
        <v>1991</v>
      </c>
    </row>
    <row r="1393" spans="1:14">
      <c r="A1393" t="s">
        <v>14</v>
      </c>
      <c r="B1393" t="str">
        <f>"112304199400"</f>
        <v>112304199400</v>
      </c>
      <c r="C1393" t="s">
        <v>2112</v>
      </c>
      <c r="D1393" t="s">
        <v>115</v>
      </c>
      <c r="G1393" t="s">
        <v>17</v>
      </c>
      <c r="H1393" t="s">
        <v>25</v>
      </c>
      <c r="I1393" t="s">
        <v>76</v>
      </c>
      <c r="J1393" t="s">
        <v>77</v>
      </c>
      <c r="K1393" t="s">
        <v>134</v>
      </c>
      <c r="L1393" t="s">
        <v>48</v>
      </c>
      <c r="M1393" s="1">
        <v>34447</v>
      </c>
      <c r="N1393">
        <v>1994</v>
      </c>
    </row>
    <row r="1394" spans="1:14">
      <c r="A1394" t="s">
        <v>14</v>
      </c>
      <c r="B1394" t="str">
        <f>"112103199200"</f>
        <v>112103199200</v>
      </c>
      <c r="C1394" t="s">
        <v>2259</v>
      </c>
      <c r="D1394" t="s">
        <v>100</v>
      </c>
      <c r="G1394" t="s">
        <v>17</v>
      </c>
      <c r="H1394" t="s">
        <v>25</v>
      </c>
      <c r="I1394" t="s">
        <v>76</v>
      </c>
      <c r="J1394" t="s">
        <v>77</v>
      </c>
      <c r="K1394" t="s">
        <v>640</v>
      </c>
      <c r="L1394" t="s">
        <v>22</v>
      </c>
      <c r="M1394" s="1">
        <v>33684</v>
      </c>
      <c r="N1394">
        <v>1992</v>
      </c>
    </row>
    <row r="1395" spans="1:14">
      <c r="A1395" t="s">
        <v>14</v>
      </c>
      <c r="B1395" t="str">
        <f>"110212199801"</f>
        <v>110212199801</v>
      </c>
      <c r="C1395" t="s">
        <v>2803</v>
      </c>
      <c r="D1395" t="s">
        <v>38</v>
      </c>
      <c r="G1395" t="s">
        <v>17</v>
      </c>
      <c r="H1395" t="s">
        <v>25</v>
      </c>
      <c r="I1395" t="s">
        <v>76</v>
      </c>
      <c r="J1395" t="s">
        <v>77</v>
      </c>
      <c r="K1395" t="s">
        <v>640</v>
      </c>
      <c r="L1395" t="s">
        <v>63</v>
      </c>
      <c r="M1395" s="1">
        <v>36131</v>
      </c>
      <c r="N1395">
        <v>1998</v>
      </c>
    </row>
    <row r="1396" spans="1:14">
      <c r="A1396" t="s">
        <v>14</v>
      </c>
      <c r="B1396" t="str">
        <f>"111110200100"</f>
        <v>111110200100</v>
      </c>
      <c r="C1396" t="s">
        <v>119</v>
      </c>
      <c r="D1396" t="s">
        <v>120</v>
      </c>
      <c r="G1396" t="s">
        <v>17</v>
      </c>
      <c r="H1396" t="s">
        <v>18</v>
      </c>
      <c r="I1396" t="s">
        <v>76</v>
      </c>
      <c r="J1396" t="s">
        <v>77</v>
      </c>
      <c r="K1396" t="s">
        <v>78</v>
      </c>
      <c r="M1396" s="1">
        <v>37175</v>
      </c>
      <c r="N1396">
        <v>2001</v>
      </c>
    </row>
    <row r="1397" spans="1:14">
      <c r="A1397" t="s">
        <v>14</v>
      </c>
      <c r="B1397" t="str">
        <f>"112208200001"</f>
        <v>112208200001</v>
      </c>
      <c r="C1397" t="s">
        <v>291</v>
      </c>
      <c r="D1397" t="s">
        <v>292</v>
      </c>
      <c r="G1397" t="s">
        <v>17</v>
      </c>
      <c r="H1397" t="s">
        <v>18</v>
      </c>
      <c r="I1397" t="s">
        <v>76</v>
      </c>
      <c r="J1397" t="s">
        <v>77</v>
      </c>
      <c r="K1397" t="s">
        <v>78</v>
      </c>
      <c r="L1397" t="s">
        <v>63</v>
      </c>
      <c r="M1397" s="1">
        <v>36760</v>
      </c>
      <c r="N1397">
        <v>2000</v>
      </c>
    </row>
    <row r="1398" spans="1:14">
      <c r="A1398" t="s">
        <v>14</v>
      </c>
      <c r="B1398" t="str">
        <f>"112602200003"</f>
        <v>112602200003</v>
      </c>
      <c r="C1398" t="s">
        <v>440</v>
      </c>
      <c r="D1398" t="s">
        <v>441</v>
      </c>
      <c r="G1398" t="s">
        <v>17</v>
      </c>
      <c r="H1398" t="s">
        <v>18</v>
      </c>
      <c r="I1398" t="s">
        <v>76</v>
      </c>
      <c r="J1398" t="s">
        <v>77</v>
      </c>
      <c r="K1398" t="s">
        <v>78</v>
      </c>
      <c r="L1398" t="s">
        <v>22</v>
      </c>
      <c r="M1398" s="1">
        <v>36582</v>
      </c>
      <c r="N1398">
        <v>2000</v>
      </c>
    </row>
    <row r="1399" spans="1:14">
      <c r="A1399" t="s">
        <v>14</v>
      </c>
      <c r="B1399" t="str">
        <f>"110610200101"</f>
        <v>110610200101</v>
      </c>
      <c r="C1399" t="s">
        <v>500</v>
      </c>
      <c r="D1399" t="s">
        <v>24</v>
      </c>
      <c r="G1399" t="s">
        <v>17</v>
      </c>
      <c r="H1399" t="s">
        <v>18</v>
      </c>
      <c r="I1399" t="s">
        <v>76</v>
      </c>
      <c r="J1399" t="s">
        <v>77</v>
      </c>
      <c r="K1399" t="s">
        <v>78</v>
      </c>
      <c r="M1399" s="1">
        <v>37170</v>
      </c>
      <c r="N1399">
        <v>2001</v>
      </c>
    </row>
    <row r="1400" spans="1:14">
      <c r="A1400" t="s">
        <v>14</v>
      </c>
      <c r="B1400" t="str">
        <f>"111208200101"</f>
        <v>111208200101</v>
      </c>
      <c r="C1400" t="s">
        <v>621</v>
      </c>
      <c r="D1400" t="s">
        <v>622</v>
      </c>
      <c r="G1400" t="s">
        <v>17</v>
      </c>
      <c r="H1400" t="s">
        <v>18</v>
      </c>
      <c r="I1400" t="s">
        <v>76</v>
      </c>
      <c r="J1400" t="s">
        <v>77</v>
      </c>
      <c r="K1400" t="s">
        <v>78</v>
      </c>
      <c r="L1400" t="s">
        <v>22</v>
      </c>
      <c r="M1400" s="1">
        <v>37115</v>
      </c>
      <c r="N1400">
        <v>2001</v>
      </c>
    </row>
    <row r="1401" spans="1:14">
      <c r="A1401" t="s">
        <v>14</v>
      </c>
      <c r="B1401" t="str">
        <f>"112711200100"</f>
        <v>112711200100</v>
      </c>
      <c r="C1401" t="s">
        <v>639</v>
      </c>
      <c r="D1401" t="s">
        <v>259</v>
      </c>
      <c r="G1401" t="s">
        <v>17</v>
      </c>
      <c r="H1401" t="s">
        <v>18</v>
      </c>
      <c r="I1401" t="s">
        <v>76</v>
      </c>
      <c r="J1401" t="s">
        <v>77</v>
      </c>
      <c r="K1401" t="s">
        <v>640</v>
      </c>
      <c r="M1401" s="1">
        <v>37222</v>
      </c>
      <c r="N1401">
        <v>2001</v>
      </c>
    </row>
    <row r="1402" spans="1:14">
      <c r="A1402" t="s">
        <v>14</v>
      </c>
      <c r="B1402" t="str">
        <f>"110802199903"</f>
        <v>110802199903</v>
      </c>
      <c r="C1402" t="s">
        <v>769</v>
      </c>
      <c r="D1402" t="s">
        <v>770</v>
      </c>
      <c r="G1402" t="s">
        <v>17</v>
      </c>
      <c r="H1402" t="s">
        <v>18</v>
      </c>
      <c r="I1402" t="s">
        <v>76</v>
      </c>
      <c r="J1402" t="s">
        <v>77</v>
      </c>
      <c r="K1402" t="s">
        <v>78</v>
      </c>
      <c r="L1402" t="s">
        <v>63</v>
      </c>
      <c r="M1402" s="1">
        <v>36199</v>
      </c>
      <c r="N1402">
        <v>1999</v>
      </c>
    </row>
    <row r="1403" spans="1:14">
      <c r="A1403" t="s">
        <v>14</v>
      </c>
      <c r="B1403" t="str">
        <f>"112112200101"</f>
        <v>112112200101</v>
      </c>
      <c r="C1403" t="s">
        <v>901</v>
      </c>
      <c r="D1403" t="s">
        <v>902</v>
      </c>
      <c r="G1403" t="s">
        <v>17</v>
      </c>
      <c r="H1403" t="s">
        <v>18</v>
      </c>
      <c r="I1403" t="s">
        <v>76</v>
      </c>
      <c r="J1403" t="s">
        <v>77</v>
      </c>
      <c r="K1403" t="s">
        <v>78</v>
      </c>
      <c r="M1403" s="1">
        <v>37246</v>
      </c>
      <c r="N1403">
        <v>2001</v>
      </c>
    </row>
    <row r="1404" spans="1:14">
      <c r="A1404" t="s">
        <v>14</v>
      </c>
      <c r="B1404" t="str">
        <f>"110101200001"</f>
        <v>110101200001</v>
      </c>
      <c r="C1404" t="s">
        <v>922</v>
      </c>
      <c r="D1404" t="s">
        <v>923</v>
      </c>
      <c r="G1404" t="s">
        <v>17</v>
      </c>
      <c r="H1404" t="s">
        <v>18</v>
      </c>
      <c r="I1404" t="s">
        <v>76</v>
      </c>
      <c r="J1404" t="s">
        <v>77</v>
      </c>
      <c r="K1404" t="s">
        <v>78</v>
      </c>
      <c r="L1404" t="s">
        <v>202</v>
      </c>
      <c r="M1404" s="1">
        <v>36526</v>
      </c>
      <c r="N1404">
        <v>2000</v>
      </c>
    </row>
    <row r="1405" spans="1:14">
      <c r="A1405" t="s">
        <v>14</v>
      </c>
      <c r="B1405" t="str">
        <f>"111504199901"</f>
        <v>111504199901</v>
      </c>
      <c r="C1405" t="s">
        <v>1028</v>
      </c>
      <c r="D1405" t="s">
        <v>392</v>
      </c>
      <c r="G1405" t="s">
        <v>17</v>
      </c>
      <c r="H1405" t="s">
        <v>18</v>
      </c>
      <c r="I1405" t="s">
        <v>76</v>
      </c>
      <c r="J1405" t="s">
        <v>77</v>
      </c>
      <c r="K1405" t="s">
        <v>78</v>
      </c>
      <c r="L1405" t="s">
        <v>63</v>
      </c>
      <c r="M1405" s="1">
        <v>36265</v>
      </c>
      <c r="N1405">
        <v>1999</v>
      </c>
    </row>
    <row r="1406" spans="1:14">
      <c r="A1406" t="s">
        <v>14</v>
      </c>
      <c r="B1406" t="str">
        <f>"111104200001"</f>
        <v>111104200001</v>
      </c>
      <c r="C1406" t="s">
        <v>1239</v>
      </c>
      <c r="D1406" t="s">
        <v>920</v>
      </c>
      <c r="G1406" t="s">
        <v>17</v>
      </c>
      <c r="H1406" t="s">
        <v>18</v>
      </c>
      <c r="I1406" t="s">
        <v>76</v>
      </c>
      <c r="J1406" t="s">
        <v>77</v>
      </c>
      <c r="K1406" t="s">
        <v>78</v>
      </c>
      <c r="L1406" t="s">
        <v>63</v>
      </c>
      <c r="M1406" s="1">
        <v>36627</v>
      </c>
      <c r="N1406">
        <v>2000</v>
      </c>
    </row>
    <row r="1407" spans="1:14">
      <c r="A1407" t="s">
        <v>14</v>
      </c>
      <c r="B1407" t="str">
        <f>"110407200101"</f>
        <v>110407200101</v>
      </c>
      <c r="C1407" t="s">
        <v>1317</v>
      </c>
      <c r="D1407" t="s">
        <v>221</v>
      </c>
      <c r="G1407" t="s">
        <v>17</v>
      </c>
      <c r="H1407" t="s">
        <v>18</v>
      </c>
      <c r="I1407" t="s">
        <v>76</v>
      </c>
      <c r="J1407" t="s">
        <v>77</v>
      </c>
      <c r="K1407" t="s">
        <v>78</v>
      </c>
      <c r="M1407" s="1">
        <v>37076</v>
      </c>
      <c r="N1407">
        <v>2001</v>
      </c>
    </row>
    <row r="1408" spans="1:14">
      <c r="A1408" t="s">
        <v>14</v>
      </c>
      <c r="B1408" t="str">
        <f>"112112200100"</f>
        <v>112112200100</v>
      </c>
      <c r="C1408" t="s">
        <v>1503</v>
      </c>
      <c r="D1408" t="s">
        <v>50</v>
      </c>
      <c r="G1408" t="s">
        <v>17</v>
      </c>
      <c r="H1408" t="s">
        <v>18</v>
      </c>
      <c r="I1408" t="s">
        <v>76</v>
      </c>
      <c r="J1408" t="s">
        <v>77</v>
      </c>
      <c r="K1408" t="s">
        <v>78</v>
      </c>
      <c r="M1408" s="1">
        <v>37246</v>
      </c>
      <c r="N1408">
        <v>2001</v>
      </c>
    </row>
    <row r="1409" spans="1:14">
      <c r="A1409" t="s">
        <v>14</v>
      </c>
      <c r="B1409" t="str">
        <f>"111803200000"</f>
        <v>111803200000</v>
      </c>
      <c r="C1409" t="s">
        <v>1792</v>
      </c>
      <c r="D1409" t="s">
        <v>1793</v>
      </c>
      <c r="G1409" t="s">
        <v>17</v>
      </c>
      <c r="H1409" t="s">
        <v>18</v>
      </c>
      <c r="I1409" t="s">
        <v>76</v>
      </c>
      <c r="J1409" t="s">
        <v>77</v>
      </c>
      <c r="K1409" t="s">
        <v>78</v>
      </c>
      <c r="L1409" t="s">
        <v>22</v>
      </c>
      <c r="M1409" s="1">
        <v>36603</v>
      </c>
      <c r="N1409">
        <v>2000</v>
      </c>
    </row>
    <row r="1410" spans="1:14">
      <c r="A1410" t="s">
        <v>14</v>
      </c>
      <c r="B1410" t="str">
        <f>"111404200000"</f>
        <v>111404200000</v>
      </c>
      <c r="C1410" t="s">
        <v>1813</v>
      </c>
      <c r="D1410" t="s">
        <v>181</v>
      </c>
      <c r="G1410" t="s">
        <v>17</v>
      </c>
      <c r="H1410" t="s">
        <v>18</v>
      </c>
      <c r="I1410" t="s">
        <v>76</v>
      </c>
      <c r="J1410" t="s">
        <v>77</v>
      </c>
      <c r="K1410" t="s">
        <v>78</v>
      </c>
      <c r="L1410" t="s">
        <v>22</v>
      </c>
      <c r="M1410" s="1">
        <v>36630</v>
      </c>
      <c r="N1410">
        <v>2000</v>
      </c>
    </row>
    <row r="1411" spans="1:14">
      <c r="A1411" t="s">
        <v>14</v>
      </c>
      <c r="B1411" t="str">
        <f>"112510199902"</f>
        <v>112510199902</v>
      </c>
      <c r="C1411" t="s">
        <v>1814</v>
      </c>
      <c r="D1411" t="s">
        <v>53</v>
      </c>
      <c r="G1411" t="s">
        <v>17</v>
      </c>
      <c r="H1411" t="s">
        <v>18</v>
      </c>
      <c r="I1411" t="s">
        <v>76</v>
      </c>
      <c r="J1411" t="s">
        <v>77</v>
      </c>
      <c r="K1411" t="s">
        <v>78</v>
      </c>
      <c r="L1411" t="s">
        <v>22</v>
      </c>
      <c r="M1411" s="1">
        <v>36458</v>
      </c>
      <c r="N1411">
        <v>1999</v>
      </c>
    </row>
    <row r="1412" spans="1:14">
      <c r="A1412" t="s">
        <v>14</v>
      </c>
      <c r="B1412" t="str">
        <f>"110105200100"</f>
        <v>110105200100</v>
      </c>
      <c r="C1412" t="s">
        <v>1851</v>
      </c>
      <c r="D1412" t="s">
        <v>807</v>
      </c>
      <c r="G1412" t="s">
        <v>17</v>
      </c>
      <c r="H1412" t="s">
        <v>18</v>
      </c>
      <c r="I1412" t="s">
        <v>76</v>
      </c>
      <c r="J1412" t="s">
        <v>77</v>
      </c>
      <c r="K1412" t="s">
        <v>78</v>
      </c>
      <c r="L1412" t="s">
        <v>202</v>
      </c>
      <c r="M1412" s="1">
        <v>37012</v>
      </c>
      <c r="N1412">
        <v>2001</v>
      </c>
    </row>
    <row r="1413" spans="1:14">
      <c r="A1413" t="s">
        <v>14</v>
      </c>
      <c r="B1413" t="str">
        <f>"112004200100"</f>
        <v>112004200100</v>
      </c>
      <c r="C1413" t="s">
        <v>1874</v>
      </c>
      <c r="D1413" t="s">
        <v>617</v>
      </c>
      <c r="G1413" t="s">
        <v>17</v>
      </c>
      <c r="H1413" t="s">
        <v>18</v>
      </c>
      <c r="I1413" t="s">
        <v>76</v>
      </c>
      <c r="J1413" t="s">
        <v>77</v>
      </c>
      <c r="K1413" t="s">
        <v>78</v>
      </c>
      <c r="L1413" t="s">
        <v>22</v>
      </c>
      <c r="M1413" s="1">
        <v>37001</v>
      </c>
      <c r="N1413">
        <v>2001</v>
      </c>
    </row>
    <row r="1414" spans="1:14">
      <c r="A1414" t="s">
        <v>14</v>
      </c>
      <c r="B1414" t="str">
        <f>"110606200001"</f>
        <v>110606200001</v>
      </c>
      <c r="C1414" t="s">
        <v>1903</v>
      </c>
      <c r="D1414" t="s">
        <v>1904</v>
      </c>
      <c r="G1414" t="s">
        <v>17</v>
      </c>
      <c r="H1414" t="s">
        <v>18</v>
      </c>
      <c r="I1414" t="s">
        <v>76</v>
      </c>
      <c r="J1414" t="s">
        <v>77</v>
      </c>
      <c r="K1414" t="s">
        <v>78</v>
      </c>
      <c r="L1414" t="s">
        <v>22</v>
      </c>
      <c r="M1414" s="1">
        <v>36683</v>
      </c>
      <c r="N1414">
        <v>2000</v>
      </c>
    </row>
    <row r="1415" spans="1:14">
      <c r="A1415" t="s">
        <v>14</v>
      </c>
      <c r="B1415" t="str">
        <f>"112406200100"</f>
        <v>112406200100</v>
      </c>
      <c r="C1415" t="s">
        <v>1943</v>
      </c>
      <c r="D1415" t="s">
        <v>344</v>
      </c>
      <c r="G1415" t="s">
        <v>17</v>
      </c>
      <c r="H1415" t="s">
        <v>18</v>
      </c>
      <c r="I1415" t="s">
        <v>76</v>
      </c>
      <c r="J1415" t="s">
        <v>77</v>
      </c>
      <c r="K1415" t="s">
        <v>351</v>
      </c>
      <c r="M1415" s="1">
        <v>37066</v>
      </c>
      <c r="N1415">
        <v>2001</v>
      </c>
    </row>
    <row r="1416" spans="1:14">
      <c r="A1416" t="s">
        <v>14</v>
      </c>
      <c r="B1416" t="str">
        <f>"111506200100"</f>
        <v>111506200100</v>
      </c>
      <c r="C1416" t="s">
        <v>2044</v>
      </c>
      <c r="D1416" t="s">
        <v>221</v>
      </c>
      <c r="G1416" t="s">
        <v>17</v>
      </c>
      <c r="H1416" t="s">
        <v>18</v>
      </c>
      <c r="I1416" t="s">
        <v>76</v>
      </c>
      <c r="J1416" t="s">
        <v>77</v>
      </c>
      <c r="K1416" t="s">
        <v>78</v>
      </c>
      <c r="M1416" s="1">
        <v>37057</v>
      </c>
      <c r="N1416">
        <v>2001</v>
      </c>
    </row>
    <row r="1417" spans="1:14">
      <c r="A1417" t="s">
        <v>14</v>
      </c>
      <c r="B1417" t="str">
        <f>"111612200102"</f>
        <v>111612200102</v>
      </c>
      <c r="C1417" t="s">
        <v>2199</v>
      </c>
      <c r="D1417" t="s">
        <v>16</v>
      </c>
      <c r="G1417" t="s">
        <v>17</v>
      </c>
      <c r="H1417" t="s">
        <v>18</v>
      </c>
      <c r="I1417" t="s">
        <v>76</v>
      </c>
      <c r="J1417" t="s">
        <v>77</v>
      </c>
      <c r="K1417" t="s">
        <v>78</v>
      </c>
      <c r="L1417" t="s">
        <v>202</v>
      </c>
      <c r="M1417" s="1">
        <v>37241</v>
      </c>
      <c r="N1417">
        <v>2001</v>
      </c>
    </row>
    <row r="1418" spans="1:14">
      <c r="A1418" t="s">
        <v>14</v>
      </c>
      <c r="B1418" t="str">
        <f>"111808199900"</f>
        <v>111808199900</v>
      </c>
      <c r="C1418" t="s">
        <v>2307</v>
      </c>
      <c r="D1418" t="s">
        <v>373</v>
      </c>
      <c r="G1418" t="s">
        <v>17</v>
      </c>
      <c r="H1418" t="s">
        <v>18</v>
      </c>
      <c r="I1418" t="s">
        <v>76</v>
      </c>
      <c r="J1418" t="s">
        <v>77</v>
      </c>
      <c r="K1418" t="s">
        <v>78</v>
      </c>
      <c r="L1418" t="s">
        <v>22</v>
      </c>
      <c r="M1418" s="1">
        <v>36390</v>
      </c>
      <c r="N1418">
        <v>1999</v>
      </c>
    </row>
    <row r="1419" spans="1:14">
      <c r="A1419" t="s">
        <v>14</v>
      </c>
      <c r="B1419" t="str">
        <f>"111211200000"</f>
        <v>111211200000</v>
      </c>
      <c r="C1419" t="s">
        <v>2324</v>
      </c>
      <c r="D1419" t="s">
        <v>1361</v>
      </c>
      <c r="G1419" t="s">
        <v>17</v>
      </c>
      <c r="H1419" t="s">
        <v>18</v>
      </c>
      <c r="I1419" t="s">
        <v>76</v>
      </c>
      <c r="J1419" t="s">
        <v>77</v>
      </c>
      <c r="K1419" t="s">
        <v>78</v>
      </c>
      <c r="L1419" t="s">
        <v>22</v>
      </c>
      <c r="M1419" s="1">
        <v>36842</v>
      </c>
      <c r="N1419">
        <v>2000</v>
      </c>
    </row>
    <row r="1420" spans="1:14">
      <c r="A1420" t="s">
        <v>14</v>
      </c>
      <c r="B1420" t="str">
        <f>"111407200002"</f>
        <v>111407200002</v>
      </c>
      <c r="C1420" t="s">
        <v>2374</v>
      </c>
      <c r="D1420" t="s">
        <v>95</v>
      </c>
      <c r="G1420" t="s">
        <v>17</v>
      </c>
      <c r="H1420" t="s">
        <v>18</v>
      </c>
      <c r="I1420" t="s">
        <v>76</v>
      </c>
      <c r="J1420" t="s">
        <v>77</v>
      </c>
      <c r="K1420" t="s">
        <v>78</v>
      </c>
      <c r="L1420" t="s">
        <v>202</v>
      </c>
      <c r="M1420" s="1">
        <v>36721</v>
      </c>
      <c r="N1420">
        <v>2000</v>
      </c>
    </row>
    <row r="1421" spans="1:14">
      <c r="A1421" t="s">
        <v>14</v>
      </c>
      <c r="B1421" t="str">
        <f>"111409200000"</f>
        <v>111409200000</v>
      </c>
      <c r="C1421" t="s">
        <v>2410</v>
      </c>
      <c r="D1421" t="s">
        <v>155</v>
      </c>
      <c r="G1421" t="s">
        <v>17</v>
      </c>
      <c r="H1421" t="s">
        <v>18</v>
      </c>
      <c r="I1421" t="s">
        <v>76</v>
      </c>
      <c r="J1421" t="s">
        <v>77</v>
      </c>
      <c r="K1421" t="s">
        <v>78</v>
      </c>
      <c r="M1421" s="1">
        <v>36783</v>
      </c>
      <c r="N1421">
        <v>2000</v>
      </c>
    </row>
    <row r="1422" spans="1:14">
      <c r="A1422" t="s">
        <v>14</v>
      </c>
      <c r="B1422" t="str">
        <f>"110411200002"</f>
        <v>110411200002</v>
      </c>
      <c r="C1422" t="s">
        <v>2628</v>
      </c>
      <c r="D1422" t="s">
        <v>373</v>
      </c>
      <c r="G1422" t="s">
        <v>17</v>
      </c>
      <c r="H1422" t="s">
        <v>18</v>
      </c>
      <c r="I1422" t="s">
        <v>76</v>
      </c>
      <c r="J1422" t="s">
        <v>77</v>
      </c>
      <c r="K1422" t="s">
        <v>134</v>
      </c>
      <c r="L1422" t="s">
        <v>63</v>
      </c>
      <c r="M1422" s="1">
        <v>36834</v>
      </c>
      <c r="N1422">
        <v>2000</v>
      </c>
    </row>
    <row r="1423" spans="1:14">
      <c r="A1423" t="s">
        <v>14</v>
      </c>
      <c r="B1423" t="str">
        <f>"111711200000"</f>
        <v>111711200000</v>
      </c>
      <c r="C1423" t="s">
        <v>2638</v>
      </c>
      <c r="D1423" t="s">
        <v>24</v>
      </c>
      <c r="G1423" t="s">
        <v>17</v>
      </c>
      <c r="H1423" t="s">
        <v>18</v>
      </c>
      <c r="I1423" t="s">
        <v>76</v>
      </c>
      <c r="J1423" t="s">
        <v>77</v>
      </c>
      <c r="K1423" t="s">
        <v>78</v>
      </c>
      <c r="L1423" t="s">
        <v>22</v>
      </c>
      <c r="M1423" s="1">
        <v>36847</v>
      </c>
      <c r="N1423">
        <v>2000</v>
      </c>
    </row>
    <row r="1424" spans="1:14">
      <c r="A1424" t="s">
        <v>14</v>
      </c>
      <c r="B1424" t="str">
        <f>"112107200003"</f>
        <v>112107200003</v>
      </c>
      <c r="C1424" t="s">
        <v>2675</v>
      </c>
      <c r="D1424" t="s">
        <v>277</v>
      </c>
      <c r="G1424" t="s">
        <v>17</v>
      </c>
      <c r="H1424" t="s">
        <v>18</v>
      </c>
      <c r="I1424" t="s">
        <v>76</v>
      </c>
      <c r="J1424" t="s">
        <v>77</v>
      </c>
      <c r="K1424" t="s">
        <v>78</v>
      </c>
      <c r="L1424" t="s">
        <v>202</v>
      </c>
      <c r="M1424" s="1">
        <v>36728</v>
      </c>
      <c r="N1424">
        <v>2000</v>
      </c>
    </row>
    <row r="1425" spans="1:14">
      <c r="A1425" t="s">
        <v>14</v>
      </c>
      <c r="B1425" t="str">
        <f>"112808200100"</f>
        <v>112808200100</v>
      </c>
      <c r="C1425" t="s">
        <v>2675</v>
      </c>
      <c r="D1425" t="s">
        <v>136</v>
      </c>
      <c r="G1425" t="s">
        <v>17</v>
      </c>
      <c r="H1425" t="s">
        <v>18</v>
      </c>
      <c r="I1425" t="s">
        <v>76</v>
      </c>
      <c r="J1425" t="s">
        <v>77</v>
      </c>
      <c r="K1425" t="s">
        <v>640</v>
      </c>
      <c r="M1425" s="1">
        <v>37131</v>
      </c>
      <c r="N1425">
        <v>2001</v>
      </c>
    </row>
    <row r="1426" spans="1:14">
      <c r="A1426" t="s">
        <v>14</v>
      </c>
      <c r="B1426" t="str">
        <f>"112302200000"</f>
        <v>112302200000</v>
      </c>
      <c r="C1426" t="s">
        <v>2824</v>
      </c>
      <c r="D1426" t="s">
        <v>209</v>
      </c>
      <c r="G1426" t="s">
        <v>17</v>
      </c>
      <c r="H1426" t="s">
        <v>18</v>
      </c>
      <c r="I1426" t="s">
        <v>76</v>
      </c>
      <c r="J1426" t="s">
        <v>77</v>
      </c>
      <c r="K1426" t="s">
        <v>78</v>
      </c>
      <c r="L1426" t="s">
        <v>63</v>
      </c>
      <c r="M1426" s="1">
        <v>36579</v>
      </c>
      <c r="N1426">
        <v>2000</v>
      </c>
    </row>
    <row r="1427" spans="1:14">
      <c r="A1427" t="s">
        <v>14</v>
      </c>
      <c r="B1427" t="str">
        <f>"112307200000"</f>
        <v>112307200000</v>
      </c>
      <c r="C1427" t="s">
        <v>2934</v>
      </c>
      <c r="D1427" t="s">
        <v>2935</v>
      </c>
      <c r="G1427" t="s">
        <v>17</v>
      </c>
      <c r="H1427" t="s">
        <v>18</v>
      </c>
      <c r="I1427" t="s">
        <v>76</v>
      </c>
      <c r="J1427" t="s">
        <v>77</v>
      </c>
      <c r="K1427" t="s">
        <v>78</v>
      </c>
      <c r="L1427" t="s">
        <v>63</v>
      </c>
      <c r="M1427" s="1">
        <v>36730</v>
      </c>
      <c r="N1427">
        <v>2000</v>
      </c>
    </row>
    <row r="1428" spans="1:14">
      <c r="A1428" t="s">
        <v>14</v>
      </c>
      <c r="B1428" t="str">
        <f>"111101200400"</f>
        <v>111101200400</v>
      </c>
      <c r="C1428" t="s">
        <v>306</v>
      </c>
      <c r="D1428" t="s">
        <v>308</v>
      </c>
      <c r="G1428" t="s">
        <v>17</v>
      </c>
      <c r="H1428" t="s">
        <v>39</v>
      </c>
      <c r="I1428" t="s">
        <v>76</v>
      </c>
      <c r="J1428" t="s">
        <v>77</v>
      </c>
      <c r="K1428" t="s">
        <v>134</v>
      </c>
      <c r="M1428" s="1">
        <v>37997</v>
      </c>
      <c r="N1428">
        <v>2004</v>
      </c>
    </row>
    <row r="1429" spans="1:14">
      <c r="A1429" t="s">
        <v>14</v>
      </c>
      <c r="B1429" t="str">
        <f>"111208200400"</f>
        <v>111208200400</v>
      </c>
      <c r="C1429" t="s">
        <v>350</v>
      </c>
      <c r="D1429" t="s">
        <v>136</v>
      </c>
      <c r="G1429" t="s">
        <v>17</v>
      </c>
      <c r="H1429" t="s">
        <v>39</v>
      </c>
      <c r="I1429" t="s">
        <v>76</v>
      </c>
      <c r="J1429" t="s">
        <v>77</v>
      </c>
      <c r="K1429" t="s">
        <v>351</v>
      </c>
      <c r="L1429" t="s">
        <v>22</v>
      </c>
      <c r="M1429" s="1">
        <v>38211</v>
      </c>
      <c r="N1429">
        <v>2004</v>
      </c>
    </row>
    <row r="1430" spans="1:14">
      <c r="A1430" t="s">
        <v>14</v>
      </c>
      <c r="B1430" t="str">
        <f>"112009200400"</f>
        <v>112009200400</v>
      </c>
      <c r="C1430" t="s">
        <v>817</v>
      </c>
      <c r="D1430" t="s">
        <v>373</v>
      </c>
      <c r="G1430" t="s">
        <v>17</v>
      </c>
      <c r="H1430" t="s">
        <v>39</v>
      </c>
      <c r="I1430" t="s">
        <v>76</v>
      </c>
      <c r="J1430" t="s">
        <v>77</v>
      </c>
      <c r="K1430" t="s">
        <v>134</v>
      </c>
      <c r="L1430" t="s">
        <v>22</v>
      </c>
      <c r="M1430" s="1">
        <v>38250</v>
      </c>
      <c r="N1430">
        <v>2004</v>
      </c>
    </row>
    <row r="1431" spans="1:14">
      <c r="A1431" t="s">
        <v>14</v>
      </c>
      <c r="B1431" t="str">
        <f>"112008200400"</f>
        <v>112008200400</v>
      </c>
      <c r="C1431" t="s">
        <v>956</v>
      </c>
      <c r="D1431" t="s">
        <v>957</v>
      </c>
      <c r="G1431" t="s">
        <v>17</v>
      </c>
      <c r="H1431" t="s">
        <v>39</v>
      </c>
      <c r="I1431" t="s">
        <v>76</v>
      </c>
      <c r="J1431" t="s">
        <v>77</v>
      </c>
      <c r="K1431" t="s">
        <v>134</v>
      </c>
      <c r="M1431" s="1">
        <v>38219</v>
      </c>
      <c r="N1431">
        <v>2004</v>
      </c>
    </row>
    <row r="1432" spans="1:14">
      <c r="A1432" t="s">
        <v>14</v>
      </c>
      <c r="B1432" t="str">
        <f>"111107200400"</f>
        <v>111107200400</v>
      </c>
      <c r="C1432" t="s">
        <v>958</v>
      </c>
      <c r="D1432" t="s">
        <v>98</v>
      </c>
      <c r="G1432" t="s">
        <v>17</v>
      </c>
      <c r="H1432" t="s">
        <v>39</v>
      </c>
      <c r="I1432" t="s">
        <v>76</v>
      </c>
      <c r="J1432" t="s">
        <v>77</v>
      </c>
      <c r="K1432" t="s">
        <v>134</v>
      </c>
      <c r="M1432" s="1">
        <v>38179</v>
      </c>
      <c r="N1432">
        <v>2004</v>
      </c>
    </row>
    <row r="1433" spans="1:14">
      <c r="A1433" t="s">
        <v>14</v>
      </c>
      <c r="B1433" t="str">
        <f>"111211200500"</f>
        <v>111211200500</v>
      </c>
      <c r="C1433" t="s">
        <v>1357</v>
      </c>
      <c r="D1433" t="s">
        <v>292</v>
      </c>
      <c r="G1433" t="s">
        <v>17</v>
      </c>
      <c r="H1433" t="s">
        <v>39</v>
      </c>
      <c r="I1433" t="s">
        <v>76</v>
      </c>
      <c r="J1433" t="s">
        <v>77</v>
      </c>
      <c r="K1433" t="s">
        <v>351</v>
      </c>
      <c r="M1433" s="1">
        <v>38668</v>
      </c>
      <c r="N1433">
        <v>2005</v>
      </c>
    </row>
    <row r="1434" spans="1:14">
      <c r="A1434" t="s">
        <v>14</v>
      </c>
      <c r="B1434" t="str">
        <f>"112411200401"</f>
        <v>112411200401</v>
      </c>
      <c r="C1434" t="s">
        <v>2016</v>
      </c>
      <c r="D1434" t="s">
        <v>115</v>
      </c>
      <c r="G1434" t="s">
        <v>17</v>
      </c>
      <c r="H1434" t="s">
        <v>39</v>
      </c>
      <c r="I1434" t="s">
        <v>76</v>
      </c>
      <c r="J1434" t="s">
        <v>77</v>
      </c>
      <c r="K1434" t="s">
        <v>134</v>
      </c>
      <c r="M1434" s="1">
        <v>38315</v>
      </c>
      <c r="N1434">
        <v>2004</v>
      </c>
    </row>
    <row r="1435" spans="1:14">
      <c r="A1435" t="s">
        <v>14</v>
      </c>
      <c r="B1435" t="str">
        <f>"110306200501"</f>
        <v>110306200501</v>
      </c>
      <c r="C1435" t="s">
        <v>2351</v>
      </c>
      <c r="D1435" t="s">
        <v>70</v>
      </c>
      <c r="G1435" t="s">
        <v>17</v>
      </c>
      <c r="H1435" t="s">
        <v>39</v>
      </c>
      <c r="I1435" t="s">
        <v>76</v>
      </c>
      <c r="J1435" t="s">
        <v>77</v>
      </c>
      <c r="K1435" t="s">
        <v>134</v>
      </c>
      <c r="L1435" t="s">
        <v>22</v>
      </c>
      <c r="M1435" s="1">
        <v>38506</v>
      </c>
      <c r="N1435">
        <v>2005</v>
      </c>
    </row>
    <row r="1436" spans="1:14">
      <c r="A1436" t="s">
        <v>14</v>
      </c>
      <c r="B1436" t="str">
        <f>"112910200402"</f>
        <v>112910200402</v>
      </c>
      <c r="C1436" t="s">
        <v>2471</v>
      </c>
      <c r="D1436" t="s">
        <v>653</v>
      </c>
      <c r="G1436" t="s">
        <v>17</v>
      </c>
      <c r="H1436" t="s">
        <v>39</v>
      </c>
      <c r="I1436" t="s">
        <v>76</v>
      </c>
      <c r="J1436" t="s">
        <v>77</v>
      </c>
      <c r="K1436" t="s">
        <v>134</v>
      </c>
      <c r="M1436" s="1">
        <v>38289</v>
      </c>
      <c r="N1436">
        <v>2004</v>
      </c>
    </row>
    <row r="1437" spans="1:14">
      <c r="A1437" t="s">
        <v>14</v>
      </c>
      <c r="B1437" t="str">
        <f>"111409200500"</f>
        <v>111409200500</v>
      </c>
      <c r="C1437" t="s">
        <v>2633</v>
      </c>
      <c r="D1437" t="s">
        <v>770</v>
      </c>
      <c r="G1437" t="s">
        <v>17</v>
      </c>
      <c r="H1437" t="s">
        <v>39</v>
      </c>
      <c r="I1437" t="s">
        <v>76</v>
      </c>
      <c r="J1437" t="s">
        <v>77</v>
      </c>
      <c r="K1437" t="s">
        <v>351</v>
      </c>
      <c r="M1437" s="1">
        <v>38609</v>
      </c>
      <c r="N1437">
        <v>2005</v>
      </c>
    </row>
    <row r="1438" spans="1:14">
      <c r="A1438" t="s">
        <v>14</v>
      </c>
      <c r="B1438" t="str">
        <f>"112203200400"</f>
        <v>112203200400</v>
      </c>
      <c r="C1438" t="s">
        <v>2803</v>
      </c>
      <c r="D1438" t="s">
        <v>129</v>
      </c>
      <c r="G1438" t="s">
        <v>17</v>
      </c>
      <c r="H1438" t="s">
        <v>39</v>
      </c>
      <c r="I1438" t="s">
        <v>76</v>
      </c>
      <c r="J1438" t="s">
        <v>77</v>
      </c>
      <c r="K1438" t="s">
        <v>134</v>
      </c>
      <c r="L1438" t="s">
        <v>22</v>
      </c>
      <c r="M1438" s="1">
        <v>38068</v>
      </c>
      <c r="N1438">
        <v>2004</v>
      </c>
    </row>
    <row r="1439" spans="1:14">
      <c r="A1439" t="s">
        <v>14</v>
      </c>
      <c r="B1439" t="str">
        <f>"113008200200"</f>
        <v>113008200200</v>
      </c>
      <c r="C1439" t="s">
        <v>314</v>
      </c>
      <c r="D1439" t="s">
        <v>315</v>
      </c>
      <c r="G1439" t="s">
        <v>17</v>
      </c>
      <c r="H1439" t="s">
        <v>51</v>
      </c>
      <c r="I1439" t="s">
        <v>76</v>
      </c>
      <c r="J1439" t="s">
        <v>77</v>
      </c>
      <c r="K1439" t="s">
        <v>78</v>
      </c>
      <c r="M1439" s="1">
        <v>37498</v>
      </c>
      <c r="N1439">
        <v>2002</v>
      </c>
    </row>
    <row r="1440" spans="1:14">
      <c r="A1440" t="s">
        <v>14</v>
      </c>
      <c r="B1440" t="str">
        <f>"112203200201"</f>
        <v>112203200201</v>
      </c>
      <c r="C1440" t="s">
        <v>324</v>
      </c>
      <c r="D1440" t="s">
        <v>107</v>
      </c>
      <c r="G1440" t="s">
        <v>17</v>
      </c>
      <c r="H1440" t="s">
        <v>51</v>
      </c>
      <c r="I1440" t="s">
        <v>76</v>
      </c>
      <c r="J1440" t="s">
        <v>77</v>
      </c>
      <c r="K1440" t="s">
        <v>78</v>
      </c>
      <c r="M1440" s="1">
        <v>37337</v>
      </c>
      <c r="N1440">
        <v>2002</v>
      </c>
    </row>
    <row r="1441" spans="1:14">
      <c r="A1441" t="s">
        <v>14</v>
      </c>
      <c r="B1441" t="str">
        <f>"111803200300"</f>
        <v>111803200300</v>
      </c>
      <c r="C1441" t="s">
        <v>754</v>
      </c>
      <c r="D1441" t="s">
        <v>755</v>
      </c>
      <c r="G1441" t="s">
        <v>17</v>
      </c>
      <c r="H1441" t="s">
        <v>51</v>
      </c>
      <c r="I1441" t="s">
        <v>76</v>
      </c>
      <c r="J1441" t="s">
        <v>77</v>
      </c>
      <c r="K1441" t="s">
        <v>640</v>
      </c>
      <c r="M1441" s="1">
        <v>37698</v>
      </c>
      <c r="N1441">
        <v>2003</v>
      </c>
    </row>
    <row r="1442" spans="1:14">
      <c r="A1442" t="s">
        <v>14</v>
      </c>
      <c r="B1442" t="str">
        <f>"110401200301"</f>
        <v>110401200301</v>
      </c>
      <c r="C1442" t="s">
        <v>794</v>
      </c>
      <c r="D1442" t="s">
        <v>795</v>
      </c>
      <c r="G1442" t="s">
        <v>17</v>
      </c>
      <c r="H1442" t="s">
        <v>51</v>
      </c>
      <c r="I1442" t="s">
        <v>76</v>
      </c>
      <c r="J1442" t="s">
        <v>77</v>
      </c>
      <c r="K1442" t="s">
        <v>640</v>
      </c>
      <c r="M1442" s="1">
        <v>37625</v>
      </c>
      <c r="N1442">
        <v>2003</v>
      </c>
    </row>
    <row r="1443" spans="1:14">
      <c r="A1443" t="s">
        <v>14</v>
      </c>
      <c r="B1443" t="str">
        <f>"111510200200"</f>
        <v>111510200200</v>
      </c>
      <c r="C1443" t="s">
        <v>896</v>
      </c>
      <c r="D1443" t="s">
        <v>16</v>
      </c>
      <c r="G1443" t="s">
        <v>17</v>
      </c>
      <c r="H1443" t="s">
        <v>51</v>
      </c>
      <c r="I1443" t="s">
        <v>76</v>
      </c>
      <c r="J1443" t="s">
        <v>77</v>
      </c>
      <c r="K1443" t="s">
        <v>640</v>
      </c>
      <c r="M1443" s="1">
        <v>37544</v>
      </c>
      <c r="N1443">
        <v>2002</v>
      </c>
    </row>
    <row r="1444" spans="1:14">
      <c r="A1444" t="s">
        <v>14</v>
      </c>
      <c r="B1444" t="str">
        <f>"111712200200"</f>
        <v>111712200200</v>
      </c>
      <c r="C1444" t="s">
        <v>1180</v>
      </c>
      <c r="D1444" t="s">
        <v>344</v>
      </c>
      <c r="G1444" t="s">
        <v>17</v>
      </c>
      <c r="H1444" t="s">
        <v>51</v>
      </c>
      <c r="I1444" t="s">
        <v>76</v>
      </c>
      <c r="J1444" t="s">
        <v>77</v>
      </c>
      <c r="K1444" t="s">
        <v>78</v>
      </c>
      <c r="L1444" t="s">
        <v>22</v>
      </c>
      <c r="M1444" s="1">
        <v>37607</v>
      </c>
      <c r="N1444">
        <v>2002</v>
      </c>
    </row>
    <row r="1445" spans="1:14">
      <c r="A1445" t="s">
        <v>14</v>
      </c>
      <c r="B1445" t="str">
        <f>"112003200200"</f>
        <v>112003200200</v>
      </c>
      <c r="C1445" t="s">
        <v>1264</v>
      </c>
      <c r="D1445" t="s">
        <v>136</v>
      </c>
      <c r="G1445" t="s">
        <v>17</v>
      </c>
      <c r="H1445" t="s">
        <v>51</v>
      </c>
      <c r="I1445" t="s">
        <v>76</v>
      </c>
      <c r="J1445" t="s">
        <v>77</v>
      </c>
      <c r="K1445" t="s">
        <v>78</v>
      </c>
      <c r="M1445" s="1">
        <v>37335</v>
      </c>
      <c r="N1445">
        <v>2002</v>
      </c>
    </row>
    <row r="1446" spans="1:14">
      <c r="A1446" t="s">
        <v>14</v>
      </c>
      <c r="B1446" t="str">
        <f>"111803200301"</f>
        <v>111803200301</v>
      </c>
      <c r="C1446" t="s">
        <v>1598</v>
      </c>
      <c r="D1446" t="s">
        <v>98</v>
      </c>
      <c r="G1446" t="s">
        <v>17</v>
      </c>
      <c r="H1446" t="s">
        <v>51</v>
      </c>
      <c r="I1446" t="s">
        <v>76</v>
      </c>
      <c r="J1446" t="s">
        <v>77</v>
      </c>
      <c r="K1446" t="s">
        <v>78</v>
      </c>
      <c r="L1446" t="s">
        <v>63</v>
      </c>
      <c r="M1446" s="1">
        <v>37698</v>
      </c>
      <c r="N1446">
        <v>2003</v>
      </c>
    </row>
    <row r="1447" spans="1:14">
      <c r="A1447" t="s">
        <v>14</v>
      </c>
      <c r="B1447" t="str">
        <f>"110209200200"</f>
        <v>110209200200</v>
      </c>
      <c r="C1447" t="s">
        <v>1634</v>
      </c>
      <c r="D1447" t="s">
        <v>1635</v>
      </c>
      <c r="G1447" t="s">
        <v>17</v>
      </c>
      <c r="H1447" t="s">
        <v>51</v>
      </c>
      <c r="I1447" t="s">
        <v>76</v>
      </c>
      <c r="J1447" t="s">
        <v>77</v>
      </c>
      <c r="K1447" t="s">
        <v>78</v>
      </c>
      <c r="M1447" s="1">
        <v>37501</v>
      </c>
      <c r="N1447">
        <v>2002</v>
      </c>
    </row>
    <row r="1448" spans="1:14">
      <c r="A1448" t="s">
        <v>14</v>
      </c>
      <c r="B1448" t="str">
        <f>"111410200201"</f>
        <v>111410200201</v>
      </c>
      <c r="C1448" t="s">
        <v>1747</v>
      </c>
      <c r="D1448" t="s">
        <v>1748</v>
      </c>
      <c r="G1448" t="s">
        <v>17</v>
      </c>
      <c r="H1448" t="s">
        <v>51</v>
      </c>
      <c r="I1448" t="s">
        <v>76</v>
      </c>
      <c r="J1448" t="s">
        <v>77</v>
      </c>
      <c r="K1448" t="s">
        <v>78</v>
      </c>
      <c r="M1448" s="1">
        <v>37543</v>
      </c>
      <c r="N1448">
        <v>2002</v>
      </c>
    </row>
    <row r="1449" spans="1:14">
      <c r="A1449" t="s">
        <v>14</v>
      </c>
      <c r="B1449" t="str">
        <f>"111802200200"</f>
        <v>111802200200</v>
      </c>
      <c r="C1449" t="s">
        <v>1782</v>
      </c>
      <c r="D1449" t="s">
        <v>136</v>
      </c>
      <c r="G1449" t="s">
        <v>17</v>
      </c>
      <c r="H1449" t="s">
        <v>51</v>
      </c>
      <c r="I1449" t="s">
        <v>76</v>
      </c>
      <c r="J1449" t="s">
        <v>77</v>
      </c>
      <c r="K1449" t="s">
        <v>78</v>
      </c>
      <c r="L1449" t="s">
        <v>22</v>
      </c>
      <c r="M1449" s="1">
        <v>37305</v>
      </c>
      <c r="N1449">
        <v>2002</v>
      </c>
    </row>
    <row r="1450" spans="1:14">
      <c r="A1450" t="s">
        <v>14</v>
      </c>
      <c r="B1450" t="str">
        <f>"111308200200"</f>
        <v>111308200200</v>
      </c>
      <c r="C1450" t="s">
        <v>2023</v>
      </c>
      <c r="D1450" t="s">
        <v>50</v>
      </c>
      <c r="G1450" t="s">
        <v>17</v>
      </c>
      <c r="H1450" t="s">
        <v>51</v>
      </c>
      <c r="I1450" t="s">
        <v>76</v>
      </c>
      <c r="J1450" t="s">
        <v>77</v>
      </c>
      <c r="K1450" t="s">
        <v>78</v>
      </c>
      <c r="M1450" s="1">
        <v>37481</v>
      </c>
      <c r="N1450">
        <v>2002</v>
      </c>
    </row>
    <row r="1451" spans="1:14">
      <c r="A1451" t="s">
        <v>14</v>
      </c>
      <c r="B1451" t="str">
        <f>"110403200302"</f>
        <v>110403200302</v>
      </c>
      <c r="C1451" t="s">
        <v>2300</v>
      </c>
      <c r="D1451" t="s">
        <v>2301</v>
      </c>
      <c r="G1451" t="s">
        <v>17</v>
      </c>
      <c r="H1451" t="s">
        <v>51</v>
      </c>
      <c r="I1451" t="s">
        <v>76</v>
      </c>
      <c r="J1451" t="s">
        <v>77</v>
      </c>
      <c r="K1451" t="s">
        <v>640</v>
      </c>
      <c r="L1451" t="s">
        <v>22</v>
      </c>
      <c r="M1451" s="1">
        <v>37684</v>
      </c>
      <c r="N1451">
        <v>2003</v>
      </c>
    </row>
    <row r="1452" spans="1:14">
      <c r="A1452" t="s">
        <v>14</v>
      </c>
      <c r="B1452" t="str">
        <f>"111310200300"</f>
        <v>111310200300</v>
      </c>
      <c r="C1452" t="s">
        <v>2309</v>
      </c>
      <c r="D1452" t="s">
        <v>136</v>
      </c>
      <c r="G1452" t="s">
        <v>17</v>
      </c>
      <c r="H1452" t="s">
        <v>51</v>
      </c>
      <c r="I1452" t="s">
        <v>76</v>
      </c>
      <c r="J1452" t="s">
        <v>77</v>
      </c>
      <c r="K1452" t="s">
        <v>78</v>
      </c>
      <c r="L1452" t="s">
        <v>63</v>
      </c>
      <c r="M1452" s="1">
        <v>37907</v>
      </c>
      <c r="N1452">
        <v>2003</v>
      </c>
    </row>
    <row r="1453" spans="1:14">
      <c r="A1453" t="s">
        <v>14</v>
      </c>
      <c r="B1453" t="str">
        <f>"111508200301"</f>
        <v>111508200301</v>
      </c>
      <c r="C1453" t="s">
        <v>2358</v>
      </c>
      <c r="D1453" t="s">
        <v>256</v>
      </c>
      <c r="G1453" t="s">
        <v>17</v>
      </c>
      <c r="H1453" t="s">
        <v>51</v>
      </c>
      <c r="I1453" t="s">
        <v>76</v>
      </c>
      <c r="J1453" t="s">
        <v>77</v>
      </c>
      <c r="K1453" t="s">
        <v>591</v>
      </c>
      <c r="L1453" t="s">
        <v>22</v>
      </c>
      <c r="M1453" s="1">
        <v>37848</v>
      </c>
      <c r="N1453">
        <v>2003</v>
      </c>
    </row>
    <row r="1454" spans="1:14">
      <c r="A1454" t="s">
        <v>14</v>
      </c>
      <c r="B1454" t="str">
        <f>"111502200200"</f>
        <v>111502200200</v>
      </c>
      <c r="C1454" t="s">
        <v>2520</v>
      </c>
      <c r="D1454" t="s">
        <v>259</v>
      </c>
      <c r="G1454" t="s">
        <v>17</v>
      </c>
      <c r="H1454" t="s">
        <v>51</v>
      </c>
      <c r="I1454" t="s">
        <v>76</v>
      </c>
      <c r="J1454" t="s">
        <v>77</v>
      </c>
      <c r="K1454" t="s">
        <v>78</v>
      </c>
      <c r="L1454" t="s">
        <v>63</v>
      </c>
      <c r="M1454" s="1">
        <v>37302</v>
      </c>
      <c r="N1454">
        <v>2002</v>
      </c>
    </row>
    <row r="1455" spans="1:14">
      <c r="A1455" t="s">
        <v>14</v>
      </c>
      <c r="B1455" t="str">
        <f>"111001200204"</f>
        <v>111001200204</v>
      </c>
      <c r="C1455" t="s">
        <v>2562</v>
      </c>
      <c r="D1455" t="s">
        <v>807</v>
      </c>
      <c r="G1455" t="s">
        <v>17</v>
      </c>
      <c r="H1455" t="s">
        <v>51</v>
      </c>
      <c r="I1455" t="s">
        <v>76</v>
      </c>
      <c r="J1455" t="s">
        <v>77</v>
      </c>
      <c r="K1455" t="s">
        <v>134</v>
      </c>
      <c r="M1455" s="1">
        <v>37266</v>
      </c>
      <c r="N1455">
        <v>2002</v>
      </c>
    </row>
    <row r="1456" spans="1:14">
      <c r="A1456" t="s">
        <v>14</v>
      </c>
      <c r="B1456" t="str">
        <f>"111203200302"</f>
        <v>111203200302</v>
      </c>
      <c r="C1456" t="s">
        <v>2636</v>
      </c>
      <c r="D1456" t="s">
        <v>902</v>
      </c>
      <c r="G1456" t="s">
        <v>17</v>
      </c>
      <c r="H1456" t="s">
        <v>51</v>
      </c>
      <c r="I1456" t="s">
        <v>76</v>
      </c>
      <c r="J1456" t="s">
        <v>77</v>
      </c>
      <c r="K1456" t="s">
        <v>134</v>
      </c>
      <c r="M1456" s="1">
        <v>37692</v>
      </c>
      <c r="N1456">
        <v>2003</v>
      </c>
    </row>
    <row r="1457" spans="1:14">
      <c r="A1457" t="s">
        <v>14</v>
      </c>
      <c r="B1457" t="str">
        <f>"112110200201"</f>
        <v>112110200201</v>
      </c>
      <c r="C1457" t="s">
        <v>2666</v>
      </c>
      <c r="D1457" t="s">
        <v>24</v>
      </c>
      <c r="G1457" t="s">
        <v>17</v>
      </c>
      <c r="H1457" t="s">
        <v>51</v>
      </c>
      <c r="I1457" t="s">
        <v>76</v>
      </c>
      <c r="J1457" t="s">
        <v>77</v>
      </c>
      <c r="K1457" t="s">
        <v>78</v>
      </c>
      <c r="M1457" s="1">
        <v>37550</v>
      </c>
      <c r="N1457">
        <v>2002</v>
      </c>
    </row>
    <row r="1458" spans="1:14">
      <c r="A1458" t="s">
        <v>14</v>
      </c>
      <c r="B1458" t="str">
        <f>"110104200200"</f>
        <v>110104200200</v>
      </c>
      <c r="C1458" t="s">
        <v>2672</v>
      </c>
      <c r="D1458" t="s">
        <v>38</v>
      </c>
      <c r="G1458" t="s">
        <v>17</v>
      </c>
      <c r="H1458" t="s">
        <v>51</v>
      </c>
      <c r="I1458" t="s">
        <v>76</v>
      </c>
      <c r="J1458" t="s">
        <v>77</v>
      </c>
      <c r="K1458" t="s">
        <v>78</v>
      </c>
      <c r="L1458" t="s">
        <v>63</v>
      </c>
      <c r="M1458" s="1">
        <v>37347</v>
      </c>
      <c r="N1458">
        <v>2002</v>
      </c>
    </row>
    <row r="1459" spans="1:14">
      <c r="A1459" t="s">
        <v>14</v>
      </c>
      <c r="B1459" t="str">
        <f>"112611200200"</f>
        <v>112611200200</v>
      </c>
      <c r="C1459" t="s">
        <v>2722</v>
      </c>
      <c r="D1459" t="s">
        <v>1164</v>
      </c>
      <c r="G1459" t="s">
        <v>17</v>
      </c>
      <c r="H1459" t="s">
        <v>51</v>
      </c>
      <c r="I1459" t="s">
        <v>76</v>
      </c>
      <c r="J1459" t="s">
        <v>77</v>
      </c>
      <c r="K1459" t="s">
        <v>78</v>
      </c>
      <c r="M1459" s="1">
        <v>37586</v>
      </c>
      <c r="N1459">
        <v>2002</v>
      </c>
    </row>
    <row r="1460" spans="1:14">
      <c r="A1460" t="s">
        <v>14</v>
      </c>
      <c r="B1460" t="str">
        <f>"111512200200"</f>
        <v>111512200200</v>
      </c>
      <c r="C1460" t="s">
        <v>2917</v>
      </c>
      <c r="D1460" t="s">
        <v>289</v>
      </c>
      <c r="G1460" t="s">
        <v>17</v>
      </c>
      <c r="H1460" t="s">
        <v>51</v>
      </c>
      <c r="I1460" t="s">
        <v>76</v>
      </c>
      <c r="J1460" t="s">
        <v>77</v>
      </c>
      <c r="K1460" t="s">
        <v>78</v>
      </c>
      <c r="L1460" t="s">
        <v>22</v>
      </c>
      <c r="M1460" s="1">
        <v>37605</v>
      </c>
      <c r="N1460">
        <v>2002</v>
      </c>
    </row>
    <row r="1461" spans="1:14">
      <c r="A1461" t="s">
        <v>14</v>
      </c>
      <c r="B1461" t="str">
        <f>"110405199802"</f>
        <v>110405199802</v>
      </c>
      <c r="C1461" t="s">
        <v>562</v>
      </c>
      <c r="D1461" t="s">
        <v>129</v>
      </c>
      <c r="G1461" t="s">
        <v>17</v>
      </c>
      <c r="H1461" t="s">
        <v>25</v>
      </c>
      <c r="I1461" t="s">
        <v>563</v>
      </c>
      <c r="J1461" t="s">
        <v>77</v>
      </c>
      <c r="K1461" t="s">
        <v>134</v>
      </c>
      <c r="L1461" t="s">
        <v>48</v>
      </c>
      <c r="M1461" s="1">
        <v>35919</v>
      </c>
      <c r="N1461">
        <v>1998</v>
      </c>
    </row>
    <row r="1462" spans="1:14">
      <c r="A1462" t="s">
        <v>14</v>
      </c>
      <c r="B1462" t="str">
        <f>"110807199901"</f>
        <v>110807199901</v>
      </c>
      <c r="C1462" t="s">
        <v>2247</v>
      </c>
      <c r="D1462" t="s">
        <v>100</v>
      </c>
      <c r="G1462" t="s">
        <v>17</v>
      </c>
      <c r="H1462" t="s">
        <v>18</v>
      </c>
      <c r="I1462" t="s">
        <v>2248</v>
      </c>
      <c r="J1462" t="s">
        <v>77</v>
      </c>
      <c r="K1462" t="s">
        <v>78</v>
      </c>
      <c r="L1462" t="s">
        <v>63</v>
      </c>
      <c r="M1462" s="1">
        <v>36349</v>
      </c>
      <c r="N1462">
        <v>1999</v>
      </c>
    </row>
    <row r="1463" spans="1:14">
      <c r="A1463" t="s">
        <v>14</v>
      </c>
      <c r="B1463" t="str">
        <f>"112402199701"</f>
        <v>112402199701</v>
      </c>
      <c r="C1463" t="s">
        <v>1202</v>
      </c>
      <c r="D1463" t="s">
        <v>120</v>
      </c>
      <c r="G1463" t="s">
        <v>17</v>
      </c>
      <c r="H1463" t="s">
        <v>25</v>
      </c>
      <c r="I1463" t="s">
        <v>1205</v>
      </c>
      <c r="J1463" t="s">
        <v>77</v>
      </c>
      <c r="K1463" t="s">
        <v>78</v>
      </c>
      <c r="L1463" t="s">
        <v>63</v>
      </c>
      <c r="M1463" s="1">
        <v>35485</v>
      </c>
      <c r="N1463">
        <v>1997</v>
      </c>
    </row>
    <row r="1464" spans="1:14">
      <c r="A1464" t="s">
        <v>14</v>
      </c>
      <c r="B1464" t="str">
        <f>"122909199500"</f>
        <v>122909199500</v>
      </c>
      <c r="C1464" t="s">
        <v>2550</v>
      </c>
      <c r="D1464" t="s">
        <v>127</v>
      </c>
      <c r="G1464" t="s">
        <v>32</v>
      </c>
      <c r="H1464" t="s">
        <v>59</v>
      </c>
      <c r="I1464" t="s">
        <v>2551</v>
      </c>
      <c r="J1464" t="s">
        <v>77</v>
      </c>
      <c r="K1464" t="s">
        <v>78</v>
      </c>
      <c r="L1464" t="s">
        <v>48</v>
      </c>
      <c r="M1464" s="1">
        <v>34971</v>
      </c>
      <c r="N1464">
        <v>1995</v>
      </c>
    </row>
    <row r="1465" spans="1:14">
      <c r="A1465" t="s">
        <v>14</v>
      </c>
      <c r="B1465" t="str">
        <f>"122505200300"</f>
        <v>122505200300</v>
      </c>
      <c r="C1465" t="s">
        <v>675</v>
      </c>
      <c r="D1465" t="s">
        <v>194</v>
      </c>
      <c r="G1465" t="s">
        <v>32</v>
      </c>
      <c r="H1465" t="s">
        <v>65</v>
      </c>
      <c r="I1465" t="s">
        <v>321</v>
      </c>
      <c r="J1465" t="s">
        <v>322</v>
      </c>
      <c r="K1465" t="s">
        <v>323</v>
      </c>
      <c r="L1465" t="s">
        <v>22</v>
      </c>
      <c r="M1465" s="1">
        <v>37766</v>
      </c>
      <c r="N1465">
        <v>2003</v>
      </c>
    </row>
    <row r="1466" spans="1:14">
      <c r="A1466" t="s">
        <v>14</v>
      </c>
      <c r="B1466" t="str">
        <f>"122808200200"</f>
        <v>122808200200</v>
      </c>
      <c r="C1466" t="s">
        <v>2376</v>
      </c>
      <c r="D1466" t="s">
        <v>184</v>
      </c>
      <c r="G1466" t="s">
        <v>32</v>
      </c>
      <c r="H1466" t="s">
        <v>65</v>
      </c>
      <c r="I1466" t="s">
        <v>321</v>
      </c>
      <c r="J1466" t="s">
        <v>322</v>
      </c>
      <c r="K1466" t="s">
        <v>323</v>
      </c>
      <c r="M1466" s="1">
        <v>37496</v>
      </c>
      <c r="N1466">
        <v>2002</v>
      </c>
    </row>
    <row r="1467" spans="1:14">
      <c r="A1467" t="s">
        <v>14</v>
      </c>
      <c r="B1467" t="str">
        <f>"120906200300"</f>
        <v>120906200300</v>
      </c>
      <c r="C1467" t="s">
        <v>2530</v>
      </c>
      <c r="D1467" t="s">
        <v>1915</v>
      </c>
      <c r="G1467" t="s">
        <v>32</v>
      </c>
      <c r="H1467" t="s">
        <v>65</v>
      </c>
      <c r="I1467" t="s">
        <v>321</v>
      </c>
      <c r="J1467" t="s">
        <v>322</v>
      </c>
      <c r="K1467" t="s">
        <v>323</v>
      </c>
      <c r="L1467" t="s">
        <v>22</v>
      </c>
      <c r="M1467" s="1">
        <v>37781</v>
      </c>
      <c r="N1467">
        <v>2003</v>
      </c>
    </row>
    <row r="1468" spans="1:14">
      <c r="A1468" t="s">
        <v>14</v>
      </c>
      <c r="B1468" t="str">
        <f>"111010199700"</f>
        <v>111010199700</v>
      </c>
      <c r="C1468" t="s">
        <v>319</v>
      </c>
      <c r="D1468" t="s">
        <v>320</v>
      </c>
      <c r="G1468" t="s">
        <v>17</v>
      </c>
      <c r="H1468" t="s">
        <v>25</v>
      </c>
      <c r="I1468" t="s">
        <v>321</v>
      </c>
      <c r="J1468" t="s">
        <v>322</v>
      </c>
      <c r="K1468" t="s">
        <v>323</v>
      </c>
      <c r="L1468" t="s">
        <v>22</v>
      </c>
      <c r="M1468" s="1">
        <v>35713</v>
      </c>
      <c r="N1468">
        <v>1997</v>
      </c>
    </row>
    <row r="1469" spans="1:14">
      <c r="A1469" t="s">
        <v>14</v>
      </c>
      <c r="B1469" t="str">
        <f>"111309199602"</f>
        <v>111309199602</v>
      </c>
      <c r="C1469" t="s">
        <v>1012</v>
      </c>
      <c r="D1469" t="s">
        <v>113</v>
      </c>
      <c r="G1469" t="s">
        <v>17</v>
      </c>
      <c r="H1469" t="s">
        <v>25</v>
      </c>
      <c r="I1469" t="s">
        <v>321</v>
      </c>
      <c r="J1469" t="s">
        <v>322</v>
      </c>
      <c r="K1469" t="s">
        <v>323</v>
      </c>
      <c r="L1469" t="s">
        <v>22</v>
      </c>
      <c r="M1469" s="1">
        <v>35321</v>
      </c>
      <c r="N1469">
        <v>1996</v>
      </c>
    </row>
    <row r="1470" spans="1:14">
      <c r="A1470" t="s">
        <v>14</v>
      </c>
      <c r="B1470" t="str">
        <f>"110410199500"</f>
        <v>110410199500</v>
      </c>
      <c r="C1470" t="s">
        <v>1040</v>
      </c>
      <c r="D1470" t="s">
        <v>113</v>
      </c>
      <c r="E1470" t="s">
        <v>1041</v>
      </c>
      <c r="F1470" t="s">
        <v>1042</v>
      </c>
      <c r="G1470" t="s">
        <v>17</v>
      </c>
      <c r="H1470" t="s">
        <v>25</v>
      </c>
      <c r="I1470" t="s">
        <v>321</v>
      </c>
      <c r="J1470" t="s">
        <v>322</v>
      </c>
      <c r="K1470" t="s">
        <v>323</v>
      </c>
      <c r="L1470" t="s">
        <v>22</v>
      </c>
      <c r="M1470" s="1">
        <v>34976</v>
      </c>
      <c r="N1470">
        <v>1995</v>
      </c>
    </row>
    <row r="1471" spans="1:14">
      <c r="A1471" t="s">
        <v>14</v>
      </c>
      <c r="B1471" t="str">
        <f>"111901199601"</f>
        <v>111901199601</v>
      </c>
      <c r="C1471" t="s">
        <v>2472</v>
      </c>
      <c r="D1471" t="s">
        <v>53</v>
      </c>
      <c r="G1471" t="s">
        <v>17</v>
      </c>
      <c r="H1471" t="s">
        <v>25</v>
      </c>
      <c r="I1471" t="s">
        <v>321</v>
      </c>
      <c r="J1471" t="s">
        <v>322</v>
      </c>
      <c r="K1471" t="s">
        <v>323</v>
      </c>
      <c r="L1471" t="s">
        <v>63</v>
      </c>
      <c r="M1471" s="1">
        <v>35083</v>
      </c>
      <c r="N1471">
        <v>1996</v>
      </c>
    </row>
    <row r="1472" spans="1:14">
      <c r="A1472" t="s">
        <v>14</v>
      </c>
      <c r="B1472" t="str">
        <f>"110604199600"</f>
        <v>110604199600</v>
      </c>
      <c r="C1472" t="s">
        <v>2634</v>
      </c>
      <c r="D1472" t="s">
        <v>886</v>
      </c>
      <c r="G1472" t="s">
        <v>17</v>
      </c>
      <c r="H1472" t="s">
        <v>25</v>
      </c>
      <c r="I1472" t="s">
        <v>321</v>
      </c>
      <c r="J1472" t="s">
        <v>322</v>
      </c>
      <c r="K1472" t="s">
        <v>323</v>
      </c>
      <c r="L1472" t="s">
        <v>63</v>
      </c>
      <c r="M1472" s="1">
        <v>35161</v>
      </c>
      <c r="N1472">
        <v>1996</v>
      </c>
    </row>
    <row r="1473" spans="1:14">
      <c r="A1473" t="s">
        <v>14</v>
      </c>
      <c r="B1473" t="str">
        <f>"110507199503"</f>
        <v>110507199503</v>
      </c>
      <c r="C1473" t="s">
        <v>2659</v>
      </c>
      <c r="D1473" t="s">
        <v>209</v>
      </c>
      <c r="G1473" t="s">
        <v>17</v>
      </c>
      <c r="H1473" t="s">
        <v>25</v>
      </c>
      <c r="I1473" t="s">
        <v>321</v>
      </c>
      <c r="J1473" t="s">
        <v>322</v>
      </c>
      <c r="K1473" t="s">
        <v>323</v>
      </c>
      <c r="L1473" t="s">
        <v>63</v>
      </c>
      <c r="M1473" s="1">
        <v>34885</v>
      </c>
      <c r="N1473">
        <v>1995</v>
      </c>
    </row>
    <row r="1474" spans="1:14">
      <c r="A1474" t="s">
        <v>14</v>
      </c>
      <c r="B1474" t="str">
        <f>"110802199602"</f>
        <v>110802199602</v>
      </c>
      <c r="C1474" t="s">
        <v>2848</v>
      </c>
      <c r="D1474" t="s">
        <v>89</v>
      </c>
      <c r="G1474" t="s">
        <v>17</v>
      </c>
      <c r="H1474" t="s">
        <v>25</v>
      </c>
      <c r="I1474" t="s">
        <v>321</v>
      </c>
      <c r="J1474" t="s">
        <v>322</v>
      </c>
      <c r="K1474" t="s">
        <v>323</v>
      </c>
      <c r="L1474" t="s">
        <v>63</v>
      </c>
      <c r="M1474" s="1">
        <v>35103</v>
      </c>
      <c r="N1474">
        <v>1996</v>
      </c>
    </row>
    <row r="1475" spans="1:14">
      <c r="A1475" t="s">
        <v>14</v>
      </c>
      <c r="B1475" t="str">
        <f>"111008200102"</f>
        <v>111008200102</v>
      </c>
      <c r="C1475" t="s">
        <v>1615</v>
      </c>
      <c r="D1475" t="s">
        <v>120</v>
      </c>
      <c r="G1475" t="s">
        <v>17</v>
      </c>
      <c r="H1475" t="s">
        <v>18</v>
      </c>
      <c r="I1475" t="s">
        <v>321</v>
      </c>
      <c r="J1475" t="s">
        <v>322</v>
      </c>
      <c r="K1475" t="s">
        <v>323</v>
      </c>
      <c r="L1475" t="s">
        <v>22</v>
      </c>
      <c r="M1475" s="1">
        <v>37113</v>
      </c>
      <c r="N1475">
        <v>2001</v>
      </c>
    </row>
    <row r="1476" spans="1:14">
      <c r="A1476" t="s">
        <v>14</v>
      </c>
      <c r="B1476" t="str">
        <f>"111105200101"</f>
        <v>111105200101</v>
      </c>
      <c r="C1476" t="s">
        <v>2002</v>
      </c>
      <c r="D1476" t="s">
        <v>181</v>
      </c>
      <c r="G1476" t="s">
        <v>17</v>
      </c>
      <c r="H1476" t="s">
        <v>18</v>
      </c>
      <c r="I1476" t="s">
        <v>321</v>
      </c>
      <c r="J1476" t="s">
        <v>322</v>
      </c>
      <c r="K1476" t="s">
        <v>323</v>
      </c>
      <c r="M1476" s="1">
        <v>37022</v>
      </c>
      <c r="N1476">
        <v>2001</v>
      </c>
    </row>
    <row r="1477" spans="1:14">
      <c r="A1477" t="s">
        <v>14</v>
      </c>
      <c r="B1477" t="str">
        <f>"111509200001"</f>
        <v>111509200001</v>
      </c>
      <c r="C1477" t="s">
        <v>2228</v>
      </c>
      <c r="D1477" t="s">
        <v>95</v>
      </c>
      <c r="G1477" t="s">
        <v>17</v>
      </c>
      <c r="H1477" t="s">
        <v>18</v>
      </c>
      <c r="I1477" t="s">
        <v>321</v>
      </c>
      <c r="J1477" t="s">
        <v>322</v>
      </c>
      <c r="K1477" t="s">
        <v>323</v>
      </c>
      <c r="M1477" s="1">
        <v>36784</v>
      </c>
      <c r="N1477">
        <v>2000</v>
      </c>
    </row>
    <row r="1478" spans="1:14">
      <c r="A1478" t="s">
        <v>14</v>
      </c>
      <c r="B1478" t="str">
        <f>"110912200000"</f>
        <v>110912200000</v>
      </c>
      <c r="C1478" t="s">
        <v>2351</v>
      </c>
      <c r="D1478" t="s">
        <v>98</v>
      </c>
      <c r="G1478" t="s">
        <v>17</v>
      </c>
      <c r="H1478" t="s">
        <v>18</v>
      </c>
      <c r="I1478" t="s">
        <v>321</v>
      </c>
      <c r="J1478" t="s">
        <v>322</v>
      </c>
      <c r="K1478" t="s">
        <v>323</v>
      </c>
      <c r="M1478" s="1">
        <v>36869</v>
      </c>
      <c r="N1478">
        <v>2000</v>
      </c>
    </row>
    <row r="1479" spans="1:14">
      <c r="A1479" t="s">
        <v>14</v>
      </c>
      <c r="B1479" t="str">
        <f>"110206200300"</f>
        <v>110206200300</v>
      </c>
      <c r="C1479" t="s">
        <v>999</v>
      </c>
      <c r="D1479" t="s">
        <v>100</v>
      </c>
      <c r="G1479" t="s">
        <v>17</v>
      </c>
      <c r="H1479" t="s">
        <v>51</v>
      </c>
      <c r="I1479" t="s">
        <v>321</v>
      </c>
      <c r="J1479" t="s">
        <v>322</v>
      </c>
      <c r="K1479" t="s">
        <v>323</v>
      </c>
      <c r="M1479" s="1">
        <v>37774</v>
      </c>
      <c r="N1479">
        <v>2003</v>
      </c>
    </row>
    <row r="1480" spans="1:14">
      <c r="A1480" t="s">
        <v>14</v>
      </c>
      <c r="B1480" t="str">
        <f>"110406200201"</f>
        <v>110406200201</v>
      </c>
      <c r="C1480" t="s">
        <v>2924</v>
      </c>
      <c r="D1480" t="s">
        <v>782</v>
      </c>
      <c r="G1480" t="s">
        <v>17</v>
      </c>
      <c r="H1480" t="s">
        <v>51</v>
      </c>
      <c r="I1480" t="s">
        <v>321</v>
      </c>
      <c r="J1480" t="s">
        <v>322</v>
      </c>
      <c r="K1480" t="s">
        <v>323</v>
      </c>
      <c r="M1480" s="1">
        <v>37411</v>
      </c>
      <c r="N1480">
        <v>2002</v>
      </c>
    </row>
    <row r="1481" spans="1:14">
      <c r="A1481" t="s">
        <v>14</v>
      </c>
      <c r="B1481" t="str">
        <f>"123103200400"</f>
        <v>123103200400</v>
      </c>
      <c r="C1481" t="s">
        <v>801</v>
      </c>
      <c r="D1481" t="s">
        <v>127</v>
      </c>
      <c r="G1481" t="s">
        <v>32</v>
      </c>
      <c r="H1481" t="s">
        <v>33</v>
      </c>
      <c r="I1481" t="s">
        <v>465</v>
      </c>
      <c r="J1481" t="s">
        <v>466</v>
      </c>
      <c r="K1481" t="s">
        <v>467</v>
      </c>
      <c r="L1481" t="s">
        <v>22</v>
      </c>
      <c r="M1481" s="1">
        <v>38077</v>
      </c>
      <c r="N1481">
        <v>2004</v>
      </c>
    </row>
    <row r="1482" spans="1:14">
      <c r="A1482" t="s">
        <v>14</v>
      </c>
      <c r="B1482" t="str">
        <f>"120407200403"</f>
        <v>120407200403</v>
      </c>
      <c r="C1482" t="s">
        <v>1375</v>
      </c>
      <c r="D1482" t="s">
        <v>452</v>
      </c>
      <c r="G1482" t="s">
        <v>32</v>
      </c>
      <c r="H1482" t="s">
        <v>33</v>
      </c>
      <c r="I1482" t="s">
        <v>465</v>
      </c>
      <c r="J1482" t="s">
        <v>466</v>
      </c>
      <c r="K1482" t="s">
        <v>467</v>
      </c>
      <c r="L1482" t="s">
        <v>22</v>
      </c>
      <c r="M1482" s="1">
        <v>38172</v>
      </c>
      <c r="N1482">
        <v>2004</v>
      </c>
    </row>
    <row r="1483" spans="1:14">
      <c r="A1483" t="s">
        <v>14</v>
      </c>
      <c r="B1483" t="str">
        <f>"122006200400"</f>
        <v>122006200400</v>
      </c>
      <c r="C1483" t="s">
        <v>1393</v>
      </c>
      <c r="D1483" t="s">
        <v>725</v>
      </c>
      <c r="G1483" t="s">
        <v>32</v>
      </c>
      <c r="H1483" t="s">
        <v>33</v>
      </c>
      <c r="I1483" t="s">
        <v>465</v>
      </c>
      <c r="J1483" t="s">
        <v>466</v>
      </c>
      <c r="K1483" t="s">
        <v>994</v>
      </c>
      <c r="L1483" t="s">
        <v>22</v>
      </c>
      <c r="M1483" s="1">
        <v>38158</v>
      </c>
      <c r="N1483">
        <v>2004</v>
      </c>
    </row>
    <row r="1484" spans="1:14">
      <c r="A1484" t="s">
        <v>14</v>
      </c>
      <c r="B1484" t="str">
        <f>"122512200400"</f>
        <v>122512200400</v>
      </c>
      <c r="C1484" t="s">
        <v>1574</v>
      </c>
      <c r="D1484" t="s">
        <v>232</v>
      </c>
      <c r="G1484" t="s">
        <v>32</v>
      </c>
      <c r="H1484" t="s">
        <v>33</v>
      </c>
      <c r="I1484" t="s">
        <v>465</v>
      </c>
      <c r="J1484" t="s">
        <v>466</v>
      </c>
      <c r="K1484" t="s">
        <v>467</v>
      </c>
      <c r="M1484" s="1">
        <v>38346</v>
      </c>
      <c r="N1484">
        <v>2004</v>
      </c>
    </row>
    <row r="1485" spans="1:14">
      <c r="A1485" t="s">
        <v>14</v>
      </c>
      <c r="B1485" t="str">
        <f>"121012200400"</f>
        <v>121012200400</v>
      </c>
      <c r="C1485" t="s">
        <v>2485</v>
      </c>
      <c r="D1485" t="s">
        <v>353</v>
      </c>
      <c r="G1485" t="s">
        <v>32</v>
      </c>
      <c r="H1485" t="s">
        <v>33</v>
      </c>
      <c r="I1485" t="s">
        <v>465</v>
      </c>
      <c r="J1485" t="s">
        <v>466</v>
      </c>
      <c r="K1485" t="s">
        <v>994</v>
      </c>
      <c r="L1485" t="s">
        <v>22</v>
      </c>
      <c r="M1485" s="1">
        <v>38331</v>
      </c>
      <c r="N1485">
        <v>2004</v>
      </c>
    </row>
    <row r="1486" spans="1:14">
      <c r="A1486" t="s">
        <v>14</v>
      </c>
      <c r="B1486" t="str">
        <f>"122310200400"</f>
        <v>122310200400</v>
      </c>
      <c r="C1486" t="s">
        <v>2855</v>
      </c>
      <c r="D1486" t="s">
        <v>31</v>
      </c>
      <c r="G1486" t="s">
        <v>32</v>
      </c>
      <c r="H1486" t="s">
        <v>33</v>
      </c>
      <c r="I1486" t="s">
        <v>465</v>
      </c>
      <c r="J1486" t="s">
        <v>466</v>
      </c>
      <c r="K1486" t="s">
        <v>789</v>
      </c>
      <c r="L1486" t="s">
        <v>22</v>
      </c>
      <c r="M1486" s="1">
        <v>38283</v>
      </c>
      <c r="N1486">
        <v>2004</v>
      </c>
    </row>
    <row r="1487" spans="1:14">
      <c r="A1487" t="s">
        <v>14</v>
      </c>
      <c r="B1487" t="str">
        <f>"121409200202"</f>
        <v>121409200202</v>
      </c>
      <c r="C1487" t="s">
        <v>464</v>
      </c>
      <c r="D1487" t="s">
        <v>310</v>
      </c>
      <c r="G1487" t="s">
        <v>32</v>
      </c>
      <c r="H1487" t="s">
        <v>65</v>
      </c>
      <c r="I1487" t="s">
        <v>465</v>
      </c>
      <c r="J1487" t="s">
        <v>466</v>
      </c>
      <c r="K1487" t="s">
        <v>467</v>
      </c>
      <c r="M1487" s="1">
        <v>37513</v>
      </c>
      <c r="N1487">
        <v>2002</v>
      </c>
    </row>
    <row r="1488" spans="1:14">
      <c r="A1488" t="s">
        <v>14</v>
      </c>
      <c r="B1488" t="str">
        <f>"122108200201"</f>
        <v>122108200201</v>
      </c>
      <c r="C1488" t="s">
        <v>788</v>
      </c>
      <c r="D1488" t="s">
        <v>493</v>
      </c>
      <c r="G1488" t="s">
        <v>32</v>
      </c>
      <c r="H1488" t="s">
        <v>65</v>
      </c>
      <c r="I1488" t="s">
        <v>465</v>
      </c>
      <c r="J1488" t="s">
        <v>466</v>
      </c>
      <c r="K1488" t="s">
        <v>789</v>
      </c>
      <c r="L1488" t="s">
        <v>22</v>
      </c>
      <c r="M1488" s="1">
        <v>37489</v>
      </c>
      <c r="N1488">
        <v>2002</v>
      </c>
    </row>
    <row r="1489" spans="1:14">
      <c r="A1489" t="s">
        <v>14</v>
      </c>
      <c r="B1489" t="str">
        <f>"120706200201"</f>
        <v>120706200201</v>
      </c>
      <c r="C1489" t="s">
        <v>1111</v>
      </c>
      <c r="D1489" t="s">
        <v>510</v>
      </c>
      <c r="G1489" t="s">
        <v>32</v>
      </c>
      <c r="H1489" t="s">
        <v>65</v>
      </c>
      <c r="I1489" t="s">
        <v>465</v>
      </c>
      <c r="J1489" t="s">
        <v>466</v>
      </c>
      <c r="K1489" t="s">
        <v>1112</v>
      </c>
      <c r="L1489" t="s">
        <v>63</v>
      </c>
      <c r="M1489" s="1">
        <v>37414</v>
      </c>
      <c r="N1489">
        <v>2002</v>
      </c>
    </row>
    <row r="1490" spans="1:14">
      <c r="A1490" t="s">
        <v>14</v>
      </c>
      <c r="B1490" t="str">
        <f>"122001200301"</f>
        <v>122001200301</v>
      </c>
      <c r="C1490" t="s">
        <v>1258</v>
      </c>
      <c r="D1490" t="s">
        <v>205</v>
      </c>
      <c r="G1490" t="s">
        <v>32</v>
      </c>
      <c r="H1490" t="s">
        <v>65</v>
      </c>
      <c r="I1490" t="s">
        <v>465</v>
      </c>
      <c r="J1490" t="s">
        <v>466</v>
      </c>
      <c r="K1490" t="s">
        <v>994</v>
      </c>
      <c r="L1490" t="s">
        <v>22</v>
      </c>
      <c r="M1490" s="1">
        <v>37641</v>
      </c>
      <c r="N1490">
        <v>2003</v>
      </c>
    </row>
    <row r="1491" spans="1:14">
      <c r="A1491" t="s">
        <v>14</v>
      </c>
      <c r="B1491" t="str">
        <f>"121612200200"</f>
        <v>121612200200</v>
      </c>
      <c r="C1491" t="s">
        <v>2428</v>
      </c>
      <c r="D1491" t="s">
        <v>235</v>
      </c>
      <c r="G1491" t="s">
        <v>32</v>
      </c>
      <c r="H1491" t="s">
        <v>65</v>
      </c>
      <c r="I1491" t="s">
        <v>465</v>
      </c>
      <c r="J1491" t="s">
        <v>466</v>
      </c>
      <c r="K1491" t="s">
        <v>994</v>
      </c>
      <c r="L1491" t="s">
        <v>63</v>
      </c>
      <c r="M1491" s="1">
        <v>37606</v>
      </c>
      <c r="N1491">
        <v>2002</v>
      </c>
    </row>
    <row r="1492" spans="1:14">
      <c r="A1492" t="s">
        <v>14</v>
      </c>
      <c r="B1492" t="str">
        <f>"120507200200"</f>
        <v>120507200200</v>
      </c>
      <c r="C1492" t="s">
        <v>2871</v>
      </c>
      <c r="D1492" t="s">
        <v>31</v>
      </c>
      <c r="G1492" t="s">
        <v>32</v>
      </c>
      <c r="H1492" t="s">
        <v>65</v>
      </c>
      <c r="I1492" t="s">
        <v>465</v>
      </c>
      <c r="J1492" t="s">
        <v>466</v>
      </c>
      <c r="K1492" t="s">
        <v>994</v>
      </c>
      <c r="L1492" t="s">
        <v>22</v>
      </c>
      <c r="M1492" s="1">
        <v>37442</v>
      </c>
      <c r="N1492">
        <v>2002</v>
      </c>
    </row>
    <row r="1493" spans="1:14">
      <c r="A1493" t="s">
        <v>14</v>
      </c>
      <c r="B1493" t="str">
        <f>"122405199801"</f>
        <v>122405199801</v>
      </c>
      <c r="C1493" t="s">
        <v>2166</v>
      </c>
      <c r="D1493" t="s">
        <v>235</v>
      </c>
      <c r="G1493" t="s">
        <v>32</v>
      </c>
      <c r="H1493" t="s">
        <v>59</v>
      </c>
      <c r="I1493" t="s">
        <v>465</v>
      </c>
      <c r="J1493" t="s">
        <v>466</v>
      </c>
      <c r="K1493" t="s">
        <v>467</v>
      </c>
      <c r="L1493" t="s">
        <v>48</v>
      </c>
      <c r="M1493" s="1">
        <v>35939</v>
      </c>
      <c r="N1493">
        <v>1998</v>
      </c>
    </row>
    <row r="1494" spans="1:14">
      <c r="A1494" t="s">
        <v>14</v>
      </c>
      <c r="B1494" t="str">
        <f>"121303200101"</f>
        <v>121303200101</v>
      </c>
      <c r="C1494" t="s">
        <v>993</v>
      </c>
      <c r="D1494" t="s">
        <v>233</v>
      </c>
      <c r="G1494" t="s">
        <v>32</v>
      </c>
      <c r="H1494" t="s">
        <v>44</v>
      </c>
      <c r="I1494" t="s">
        <v>465</v>
      </c>
      <c r="J1494" t="s">
        <v>466</v>
      </c>
      <c r="K1494" t="s">
        <v>994</v>
      </c>
      <c r="L1494" t="s">
        <v>63</v>
      </c>
      <c r="M1494" s="1">
        <v>36963</v>
      </c>
      <c r="N1494">
        <v>2001</v>
      </c>
    </row>
    <row r="1495" spans="1:14">
      <c r="A1495" t="s">
        <v>14</v>
      </c>
      <c r="B1495" t="str">
        <f>"122603200000"</f>
        <v>122603200000</v>
      </c>
      <c r="C1495" t="s">
        <v>1393</v>
      </c>
      <c r="D1495" t="s">
        <v>178</v>
      </c>
      <c r="G1495" t="s">
        <v>32</v>
      </c>
      <c r="H1495" t="s">
        <v>44</v>
      </c>
      <c r="I1495" t="s">
        <v>465</v>
      </c>
      <c r="J1495" t="s">
        <v>466</v>
      </c>
      <c r="K1495" t="s">
        <v>994</v>
      </c>
      <c r="L1495" t="s">
        <v>63</v>
      </c>
      <c r="M1495" s="1">
        <v>36611</v>
      </c>
      <c r="N1495">
        <v>2000</v>
      </c>
    </row>
    <row r="1496" spans="1:14">
      <c r="A1496" t="s">
        <v>14</v>
      </c>
      <c r="B1496" t="str">
        <f>"122108200101"</f>
        <v>122108200101</v>
      </c>
      <c r="C1496" t="s">
        <v>1417</v>
      </c>
      <c r="D1496" t="s">
        <v>310</v>
      </c>
      <c r="G1496" t="s">
        <v>32</v>
      </c>
      <c r="H1496" t="s">
        <v>44</v>
      </c>
      <c r="I1496" t="s">
        <v>465</v>
      </c>
      <c r="J1496" t="s">
        <v>466</v>
      </c>
      <c r="K1496" t="s">
        <v>994</v>
      </c>
      <c r="L1496" t="s">
        <v>63</v>
      </c>
      <c r="M1496" s="1">
        <v>37124</v>
      </c>
      <c r="N1496">
        <v>2001</v>
      </c>
    </row>
    <row r="1497" spans="1:14">
      <c r="A1497" t="s">
        <v>14</v>
      </c>
      <c r="B1497" t="str">
        <f>"120302200000"</f>
        <v>120302200000</v>
      </c>
      <c r="C1497" t="s">
        <v>1574</v>
      </c>
      <c r="D1497" t="s">
        <v>609</v>
      </c>
      <c r="G1497" t="s">
        <v>32</v>
      </c>
      <c r="H1497" t="s">
        <v>44</v>
      </c>
      <c r="I1497" t="s">
        <v>465</v>
      </c>
      <c r="J1497" t="s">
        <v>466</v>
      </c>
      <c r="K1497" t="s">
        <v>1112</v>
      </c>
      <c r="L1497" t="s">
        <v>63</v>
      </c>
      <c r="M1497" s="1">
        <v>36559</v>
      </c>
      <c r="N1497">
        <v>2000</v>
      </c>
    </row>
    <row r="1498" spans="1:14">
      <c r="A1498" t="s">
        <v>14</v>
      </c>
      <c r="B1498" t="str">
        <f>"121712200100"</f>
        <v>121712200100</v>
      </c>
      <c r="C1498" t="s">
        <v>1736</v>
      </c>
      <c r="D1498" t="s">
        <v>64</v>
      </c>
      <c r="G1498" t="s">
        <v>32</v>
      </c>
      <c r="H1498" t="s">
        <v>44</v>
      </c>
      <c r="I1498" t="s">
        <v>465</v>
      </c>
      <c r="J1498" t="s">
        <v>466</v>
      </c>
      <c r="K1498" t="s">
        <v>1112</v>
      </c>
      <c r="L1498" t="s">
        <v>63</v>
      </c>
      <c r="M1498" s="1">
        <v>37242</v>
      </c>
      <c r="N1498">
        <v>2001</v>
      </c>
    </row>
    <row r="1499" spans="1:14">
      <c r="A1499" t="s">
        <v>14</v>
      </c>
      <c r="B1499" t="str">
        <f>"122408200100"</f>
        <v>122408200100</v>
      </c>
      <c r="C1499" t="s">
        <v>2104</v>
      </c>
      <c r="D1499" t="s">
        <v>970</v>
      </c>
      <c r="G1499" t="s">
        <v>32</v>
      </c>
      <c r="H1499" t="s">
        <v>44</v>
      </c>
      <c r="I1499" t="s">
        <v>465</v>
      </c>
      <c r="J1499" t="s">
        <v>466</v>
      </c>
      <c r="K1499" t="s">
        <v>1112</v>
      </c>
      <c r="L1499" t="s">
        <v>202</v>
      </c>
      <c r="M1499" s="1">
        <v>37127</v>
      </c>
      <c r="N1499">
        <v>2001</v>
      </c>
    </row>
    <row r="1500" spans="1:14">
      <c r="A1500" t="s">
        <v>14</v>
      </c>
      <c r="B1500" t="str">
        <f>"122810199900"</f>
        <v>122810199900</v>
      </c>
      <c r="C1500" t="s">
        <v>2266</v>
      </c>
      <c r="D1500" t="s">
        <v>194</v>
      </c>
      <c r="G1500" t="s">
        <v>32</v>
      </c>
      <c r="H1500" t="s">
        <v>44</v>
      </c>
      <c r="I1500" t="s">
        <v>465</v>
      </c>
      <c r="J1500" t="s">
        <v>466</v>
      </c>
      <c r="K1500" t="s">
        <v>467</v>
      </c>
      <c r="L1500" t="s">
        <v>202</v>
      </c>
      <c r="M1500" s="1">
        <v>36461</v>
      </c>
      <c r="N1500">
        <v>1999</v>
      </c>
    </row>
    <row r="1501" spans="1:14">
      <c r="A1501" t="s">
        <v>14</v>
      </c>
      <c r="B1501" t="str">
        <f>"112102198100"</f>
        <v>112102198100</v>
      </c>
      <c r="C1501" t="s">
        <v>1054</v>
      </c>
      <c r="D1501" t="s">
        <v>115</v>
      </c>
      <c r="G1501" t="s">
        <v>17</v>
      </c>
      <c r="H1501" t="s">
        <v>25</v>
      </c>
      <c r="I1501" t="s">
        <v>465</v>
      </c>
      <c r="J1501" t="s">
        <v>466</v>
      </c>
      <c r="K1501" t="s">
        <v>1055</v>
      </c>
      <c r="L1501" t="s">
        <v>48</v>
      </c>
      <c r="M1501" s="1">
        <v>29638</v>
      </c>
      <c r="N1501">
        <v>1981</v>
      </c>
    </row>
    <row r="1502" spans="1:14">
      <c r="A1502" t="s">
        <v>14</v>
      </c>
      <c r="B1502" t="str">
        <f>"112704199700"</f>
        <v>112704199700</v>
      </c>
      <c r="C1502" t="s">
        <v>1568</v>
      </c>
      <c r="D1502" t="s">
        <v>283</v>
      </c>
      <c r="G1502" t="s">
        <v>17</v>
      </c>
      <c r="H1502" t="s">
        <v>25</v>
      </c>
      <c r="I1502" t="s">
        <v>465</v>
      </c>
      <c r="J1502" t="s">
        <v>466</v>
      </c>
      <c r="K1502" t="s">
        <v>1569</v>
      </c>
      <c r="L1502" t="s">
        <v>63</v>
      </c>
      <c r="M1502" s="1">
        <v>35547</v>
      </c>
      <c r="N1502">
        <v>1997</v>
      </c>
    </row>
    <row r="1503" spans="1:14">
      <c r="A1503" t="s">
        <v>14</v>
      </c>
      <c r="B1503" t="str">
        <f>"112409199801"</f>
        <v>112409199801</v>
      </c>
      <c r="C1503" t="s">
        <v>1955</v>
      </c>
      <c r="D1503" t="s">
        <v>259</v>
      </c>
      <c r="G1503" t="s">
        <v>17</v>
      </c>
      <c r="H1503" t="s">
        <v>25</v>
      </c>
      <c r="I1503" t="s">
        <v>465</v>
      </c>
      <c r="J1503" t="s">
        <v>466</v>
      </c>
      <c r="K1503" t="s">
        <v>1956</v>
      </c>
      <c r="L1503" t="s">
        <v>63</v>
      </c>
      <c r="M1503" s="1">
        <v>36062</v>
      </c>
      <c r="N1503">
        <v>1998</v>
      </c>
    </row>
    <row r="1504" spans="1:14">
      <c r="A1504" t="s">
        <v>14</v>
      </c>
      <c r="B1504" t="str">
        <f>"113012199601"</f>
        <v>113012199601</v>
      </c>
      <c r="C1504" t="s">
        <v>2181</v>
      </c>
      <c r="D1504" t="s">
        <v>277</v>
      </c>
      <c r="G1504" t="s">
        <v>17</v>
      </c>
      <c r="H1504" t="s">
        <v>25</v>
      </c>
      <c r="I1504" t="s">
        <v>465</v>
      </c>
      <c r="J1504" t="s">
        <v>466</v>
      </c>
      <c r="K1504" t="s">
        <v>1112</v>
      </c>
      <c r="L1504" t="s">
        <v>63</v>
      </c>
      <c r="M1504" s="1">
        <v>35429</v>
      </c>
      <c r="N1504">
        <v>1996</v>
      </c>
    </row>
    <row r="1505" spans="1:14">
      <c r="A1505" t="s">
        <v>14</v>
      </c>
      <c r="B1505" t="str">
        <f>"110912199900"</f>
        <v>110912199900</v>
      </c>
      <c r="C1505" t="s">
        <v>512</v>
      </c>
      <c r="D1505" t="s">
        <v>373</v>
      </c>
      <c r="G1505" t="s">
        <v>17</v>
      </c>
      <c r="H1505" t="s">
        <v>18</v>
      </c>
      <c r="I1505" t="s">
        <v>465</v>
      </c>
      <c r="J1505" t="s">
        <v>466</v>
      </c>
      <c r="K1505" t="s">
        <v>467</v>
      </c>
      <c r="L1505" t="s">
        <v>63</v>
      </c>
      <c r="M1505" s="1">
        <v>36503</v>
      </c>
      <c r="N1505">
        <v>1999</v>
      </c>
    </row>
    <row r="1506" spans="1:14">
      <c r="A1506" t="s">
        <v>14</v>
      </c>
      <c r="B1506" t="str">
        <f>"112806200100"</f>
        <v>112806200100</v>
      </c>
      <c r="C1506" t="s">
        <v>593</v>
      </c>
      <c r="D1506" t="s">
        <v>98</v>
      </c>
      <c r="G1506" t="s">
        <v>17</v>
      </c>
      <c r="H1506" t="s">
        <v>18</v>
      </c>
      <c r="I1506" t="s">
        <v>465</v>
      </c>
      <c r="J1506" t="s">
        <v>466</v>
      </c>
      <c r="K1506" t="s">
        <v>594</v>
      </c>
      <c r="L1506" t="s">
        <v>22</v>
      </c>
      <c r="M1506" s="1">
        <v>37070</v>
      </c>
      <c r="N1506">
        <v>2001</v>
      </c>
    </row>
    <row r="1507" spans="1:14">
      <c r="A1507" t="s">
        <v>14</v>
      </c>
      <c r="B1507" t="str">
        <f>"113005200000"</f>
        <v>113005200000</v>
      </c>
      <c r="C1507" t="s">
        <v>1202</v>
      </c>
      <c r="D1507" t="s">
        <v>209</v>
      </c>
      <c r="G1507" t="s">
        <v>17</v>
      </c>
      <c r="H1507" t="s">
        <v>18</v>
      </c>
      <c r="I1507" t="s">
        <v>465</v>
      </c>
      <c r="J1507" t="s">
        <v>466</v>
      </c>
      <c r="K1507" t="s">
        <v>1112</v>
      </c>
      <c r="L1507" t="s">
        <v>48</v>
      </c>
      <c r="M1507" s="1">
        <v>36676</v>
      </c>
      <c r="N1507">
        <v>2000</v>
      </c>
    </row>
    <row r="1508" spans="1:14">
      <c r="A1508" t="s">
        <v>14</v>
      </c>
      <c r="B1508" t="str">
        <f>"111201200100"</f>
        <v>111201200100</v>
      </c>
      <c r="C1508" t="s">
        <v>2638</v>
      </c>
      <c r="D1508" t="s">
        <v>100</v>
      </c>
      <c r="G1508" t="s">
        <v>17</v>
      </c>
      <c r="H1508" t="s">
        <v>18</v>
      </c>
      <c r="I1508" t="s">
        <v>465</v>
      </c>
      <c r="J1508" t="s">
        <v>466</v>
      </c>
      <c r="K1508" t="s">
        <v>467</v>
      </c>
      <c r="M1508" s="1">
        <v>36903</v>
      </c>
      <c r="N1508">
        <v>2001</v>
      </c>
    </row>
    <row r="1509" spans="1:14">
      <c r="A1509" t="s">
        <v>14</v>
      </c>
      <c r="B1509" t="str">
        <f>"112506200100"</f>
        <v>112506200100</v>
      </c>
      <c r="C1509" t="s">
        <v>2689</v>
      </c>
      <c r="D1509" t="s">
        <v>920</v>
      </c>
      <c r="G1509" t="s">
        <v>17</v>
      </c>
      <c r="H1509" t="s">
        <v>18</v>
      </c>
      <c r="I1509" t="s">
        <v>465</v>
      </c>
      <c r="J1509" t="s">
        <v>466</v>
      </c>
      <c r="K1509" t="s">
        <v>994</v>
      </c>
      <c r="L1509" t="s">
        <v>63</v>
      </c>
      <c r="M1509" s="1">
        <v>37067</v>
      </c>
      <c r="N1509">
        <v>2001</v>
      </c>
    </row>
    <row r="1510" spans="1:14">
      <c r="A1510" t="s">
        <v>14</v>
      </c>
      <c r="B1510" t="str">
        <f>"111312200101"</f>
        <v>111312200101</v>
      </c>
      <c r="C1510" t="s">
        <v>2725</v>
      </c>
      <c r="D1510" t="s">
        <v>344</v>
      </c>
      <c r="G1510" t="s">
        <v>17</v>
      </c>
      <c r="H1510" t="s">
        <v>18</v>
      </c>
      <c r="I1510" t="s">
        <v>465</v>
      </c>
      <c r="J1510" t="s">
        <v>466</v>
      </c>
      <c r="K1510" t="s">
        <v>1112</v>
      </c>
      <c r="L1510" t="s">
        <v>22</v>
      </c>
      <c r="M1510" s="1">
        <v>37238</v>
      </c>
      <c r="N1510">
        <v>2001</v>
      </c>
    </row>
    <row r="1511" spans="1:14">
      <c r="A1511" t="s">
        <v>14</v>
      </c>
      <c r="B1511" t="str">
        <f>"111902200401"</f>
        <v>111902200401</v>
      </c>
      <c r="C1511" t="s">
        <v>716</v>
      </c>
      <c r="D1511" t="s">
        <v>70</v>
      </c>
      <c r="G1511" t="s">
        <v>17</v>
      </c>
      <c r="H1511" t="s">
        <v>39</v>
      </c>
      <c r="I1511" t="s">
        <v>465</v>
      </c>
      <c r="J1511" t="s">
        <v>466</v>
      </c>
      <c r="K1511" t="s">
        <v>467</v>
      </c>
      <c r="L1511" t="s">
        <v>22</v>
      </c>
      <c r="M1511" s="1">
        <v>38036</v>
      </c>
      <c r="N1511">
        <v>2004</v>
      </c>
    </row>
    <row r="1512" spans="1:14">
      <c r="A1512" t="s">
        <v>14</v>
      </c>
      <c r="B1512" t="str">
        <f>"111408200400"</f>
        <v>111408200400</v>
      </c>
      <c r="C1512" t="s">
        <v>826</v>
      </c>
      <c r="D1512" t="s">
        <v>155</v>
      </c>
      <c r="G1512" t="s">
        <v>17</v>
      </c>
      <c r="H1512" t="s">
        <v>39</v>
      </c>
      <c r="I1512" t="s">
        <v>465</v>
      </c>
      <c r="J1512" t="s">
        <v>466</v>
      </c>
      <c r="K1512" t="s">
        <v>467</v>
      </c>
      <c r="L1512" t="s">
        <v>22</v>
      </c>
      <c r="M1512" s="1">
        <v>38213</v>
      </c>
      <c r="N1512">
        <v>2004</v>
      </c>
    </row>
    <row r="1513" spans="1:14">
      <c r="A1513" t="s">
        <v>14</v>
      </c>
      <c r="B1513" t="str">
        <f>"111103200400"</f>
        <v>111103200400</v>
      </c>
      <c r="C1513" t="s">
        <v>1372</v>
      </c>
      <c r="D1513" t="s">
        <v>209</v>
      </c>
      <c r="G1513" t="s">
        <v>17</v>
      </c>
      <c r="H1513" t="s">
        <v>39</v>
      </c>
      <c r="I1513" t="s">
        <v>465</v>
      </c>
      <c r="J1513" t="s">
        <v>466</v>
      </c>
      <c r="K1513" t="s">
        <v>994</v>
      </c>
      <c r="L1513" t="s">
        <v>22</v>
      </c>
      <c r="M1513" s="1">
        <v>38057</v>
      </c>
      <c r="N1513">
        <v>2004</v>
      </c>
    </row>
    <row r="1514" spans="1:14">
      <c r="A1514" t="s">
        <v>14</v>
      </c>
      <c r="B1514" t="str">
        <f>"111910200401"</f>
        <v>111910200401</v>
      </c>
      <c r="C1514" t="s">
        <v>1390</v>
      </c>
      <c r="D1514" t="s">
        <v>653</v>
      </c>
      <c r="G1514" t="s">
        <v>17</v>
      </c>
      <c r="H1514" t="s">
        <v>39</v>
      </c>
      <c r="I1514" t="s">
        <v>465</v>
      </c>
      <c r="J1514" t="s">
        <v>466</v>
      </c>
      <c r="K1514" t="s">
        <v>467</v>
      </c>
      <c r="M1514" s="1">
        <v>38279</v>
      </c>
      <c r="N1514">
        <v>2004</v>
      </c>
    </row>
    <row r="1515" spans="1:14">
      <c r="A1515" t="s">
        <v>14</v>
      </c>
      <c r="B1515" t="str">
        <f>"112007200402"</f>
        <v>112007200402</v>
      </c>
      <c r="C1515" t="s">
        <v>1443</v>
      </c>
      <c r="D1515" t="s">
        <v>392</v>
      </c>
      <c r="G1515" t="s">
        <v>17</v>
      </c>
      <c r="H1515" t="s">
        <v>39</v>
      </c>
      <c r="I1515" t="s">
        <v>465</v>
      </c>
      <c r="J1515" t="s">
        <v>466</v>
      </c>
      <c r="K1515" t="s">
        <v>467</v>
      </c>
      <c r="L1515" t="s">
        <v>22</v>
      </c>
      <c r="M1515" s="1">
        <v>38188</v>
      </c>
      <c r="N1515">
        <v>2004</v>
      </c>
    </row>
    <row r="1516" spans="1:14">
      <c r="A1516" t="s">
        <v>14</v>
      </c>
      <c r="B1516" t="str">
        <f>"110710200401"</f>
        <v>110710200401</v>
      </c>
      <c r="C1516" t="s">
        <v>1501</v>
      </c>
      <c r="D1516" t="s">
        <v>203</v>
      </c>
      <c r="G1516" t="s">
        <v>17</v>
      </c>
      <c r="H1516" t="s">
        <v>39</v>
      </c>
      <c r="I1516" t="s">
        <v>465</v>
      </c>
      <c r="J1516" t="s">
        <v>466</v>
      </c>
      <c r="K1516" t="s">
        <v>994</v>
      </c>
      <c r="L1516" t="s">
        <v>22</v>
      </c>
      <c r="M1516" s="1">
        <v>38267</v>
      </c>
      <c r="N1516">
        <v>2004</v>
      </c>
    </row>
    <row r="1517" spans="1:14">
      <c r="A1517" t="s">
        <v>14</v>
      </c>
      <c r="B1517" t="str">
        <f>"110309200400"</f>
        <v>110309200400</v>
      </c>
      <c r="C1517" t="s">
        <v>2199</v>
      </c>
      <c r="D1517" t="s">
        <v>590</v>
      </c>
      <c r="G1517" t="s">
        <v>17</v>
      </c>
      <c r="H1517" t="s">
        <v>39</v>
      </c>
      <c r="I1517" t="s">
        <v>465</v>
      </c>
      <c r="J1517" t="s">
        <v>466</v>
      </c>
      <c r="K1517" t="s">
        <v>467</v>
      </c>
      <c r="L1517" t="s">
        <v>22</v>
      </c>
      <c r="M1517" s="1">
        <v>38233</v>
      </c>
      <c r="N1517">
        <v>2004</v>
      </c>
    </row>
    <row r="1518" spans="1:14">
      <c r="A1518" t="s">
        <v>14</v>
      </c>
      <c r="B1518" t="str">
        <f>"110205200400"</f>
        <v>110205200400</v>
      </c>
      <c r="C1518" t="s">
        <v>2732</v>
      </c>
      <c r="D1518" t="s">
        <v>373</v>
      </c>
      <c r="G1518" t="s">
        <v>17</v>
      </c>
      <c r="H1518" t="s">
        <v>39</v>
      </c>
      <c r="I1518" t="s">
        <v>465</v>
      </c>
      <c r="J1518" t="s">
        <v>466</v>
      </c>
      <c r="K1518" t="s">
        <v>994</v>
      </c>
      <c r="L1518" t="s">
        <v>22</v>
      </c>
      <c r="M1518" s="1">
        <v>38109</v>
      </c>
      <c r="N1518">
        <v>2004</v>
      </c>
    </row>
    <row r="1519" spans="1:14">
      <c r="A1519" t="s">
        <v>14</v>
      </c>
      <c r="B1519" t="str">
        <f>"113011200300"</f>
        <v>113011200300</v>
      </c>
      <c r="C1519" t="s">
        <v>1404</v>
      </c>
      <c r="D1519" t="s">
        <v>115</v>
      </c>
      <c r="G1519" t="s">
        <v>17</v>
      </c>
      <c r="H1519" t="s">
        <v>51</v>
      </c>
      <c r="I1519" t="s">
        <v>465</v>
      </c>
      <c r="J1519" t="s">
        <v>466</v>
      </c>
      <c r="K1519" t="s">
        <v>789</v>
      </c>
      <c r="M1519" s="1">
        <v>37955</v>
      </c>
      <c r="N1519">
        <v>2003</v>
      </c>
    </row>
    <row r="1520" spans="1:14">
      <c r="A1520" t="s">
        <v>14</v>
      </c>
      <c r="B1520" t="str">
        <f>"110911200300"</f>
        <v>110911200300</v>
      </c>
      <c r="C1520" t="s">
        <v>1529</v>
      </c>
      <c r="D1520" t="s">
        <v>373</v>
      </c>
      <c r="G1520" t="s">
        <v>17</v>
      </c>
      <c r="H1520" t="s">
        <v>51</v>
      </c>
      <c r="I1520" t="s">
        <v>465</v>
      </c>
      <c r="J1520" t="s">
        <v>466</v>
      </c>
      <c r="K1520" t="s">
        <v>994</v>
      </c>
      <c r="L1520" t="s">
        <v>22</v>
      </c>
      <c r="M1520" s="1">
        <v>37934</v>
      </c>
      <c r="N1520">
        <v>2003</v>
      </c>
    </row>
    <row r="1521" spans="1:14">
      <c r="A1521" t="s">
        <v>14</v>
      </c>
      <c r="B1521" t="str">
        <f>"110306200302"</f>
        <v>110306200302</v>
      </c>
      <c r="C1521" t="s">
        <v>1564</v>
      </c>
      <c r="D1521" t="s">
        <v>221</v>
      </c>
      <c r="G1521" t="s">
        <v>17</v>
      </c>
      <c r="H1521" t="s">
        <v>51</v>
      </c>
      <c r="I1521" t="s">
        <v>465</v>
      </c>
      <c r="J1521" t="s">
        <v>466</v>
      </c>
      <c r="K1521" t="s">
        <v>994</v>
      </c>
      <c r="L1521" t="s">
        <v>22</v>
      </c>
      <c r="M1521" s="1">
        <v>37775</v>
      </c>
      <c r="N1521">
        <v>2003</v>
      </c>
    </row>
    <row r="1522" spans="1:14">
      <c r="A1522" t="s">
        <v>14</v>
      </c>
      <c r="B1522" t="str">
        <f>"111707200301"</f>
        <v>111707200301</v>
      </c>
      <c r="C1522" t="s">
        <v>1722</v>
      </c>
      <c r="D1522" t="s">
        <v>344</v>
      </c>
      <c r="G1522" t="s">
        <v>17</v>
      </c>
      <c r="H1522" t="s">
        <v>51</v>
      </c>
      <c r="I1522" t="s">
        <v>465</v>
      </c>
      <c r="J1522" t="s">
        <v>466</v>
      </c>
      <c r="K1522" t="s">
        <v>994</v>
      </c>
      <c r="L1522" t="s">
        <v>22</v>
      </c>
      <c r="M1522" s="1">
        <v>37819</v>
      </c>
      <c r="N1522">
        <v>2003</v>
      </c>
    </row>
    <row r="1523" spans="1:14">
      <c r="A1523" t="s">
        <v>14</v>
      </c>
      <c r="B1523" t="str">
        <f>"112210200200"</f>
        <v>112210200200</v>
      </c>
      <c r="C1523" t="s">
        <v>1795</v>
      </c>
      <c r="D1523" t="s">
        <v>590</v>
      </c>
      <c r="G1523" t="s">
        <v>17</v>
      </c>
      <c r="H1523" t="s">
        <v>51</v>
      </c>
      <c r="I1523" t="s">
        <v>465</v>
      </c>
      <c r="J1523" t="s">
        <v>466</v>
      </c>
      <c r="K1523" t="s">
        <v>994</v>
      </c>
      <c r="L1523" t="s">
        <v>63</v>
      </c>
      <c r="M1523" s="1">
        <v>37551</v>
      </c>
      <c r="N1523">
        <v>2002</v>
      </c>
    </row>
    <row r="1524" spans="1:14">
      <c r="A1524" t="s">
        <v>14</v>
      </c>
      <c r="B1524" t="str">
        <f>"112506200301"</f>
        <v>112506200301</v>
      </c>
      <c r="C1524" t="s">
        <v>1931</v>
      </c>
      <c r="D1524" t="s">
        <v>1932</v>
      </c>
      <c r="G1524" t="s">
        <v>17</v>
      </c>
      <c r="H1524" t="s">
        <v>51</v>
      </c>
      <c r="I1524" t="s">
        <v>465</v>
      </c>
      <c r="J1524" t="s">
        <v>466</v>
      </c>
      <c r="K1524" t="s">
        <v>994</v>
      </c>
      <c r="L1524" t="s">
        <v>22</v>
      </c>
      <c r="M1524" s="1">
        <v>37797</v>
      </c>
      <c r="N1524">
        <v>2003</v>
      </c>
    </row>
    <row r="1525" spans="1:14">
      <c r="A1525" t="s">
        <v>14</v>
      </c>
      <c r="B1525" t="str">
        <f>"112410200301"</f>
        <v>112410200301</v>
      </c>
      <c r="C1525" t="s">
        <v>2068</v>
      </c>
      <c r="D1525" t="s">
        <v>579</v>
      </c>
      <c r="G1525" t="s">
        <v>17</v>
      </c>
      <c r="H1525" t="s">
        <v>51</v>
      </c>
      <c r="I1525" t="s">
        <v>465</v>
      </c>
      <c r="J1525" t="s">
        <v>466</v>
      </c>
      <c r="K1525" t="s">
        <v>1112</v>
      </c>
      <c r="L1525" t="s">
        <v>22</v>
      </c>
      <c r="M1525" s="1">
        <v>37918</v>
      </c>
      <c r="N1525">
        <v>2003</v>
      </c>
    </row>
    <row r="1526" spans="1:14">
      <c r="A1526" t="s">
        <v>14</v>
      </c>
      <c r="B1526" t="str">
        <f>"110103200300"</f>
        <v>110103200300</v>
      </c>
      <c r="C1526" t="s">
        <v>2088</v>
      </c>
      <c r="D1526" t="s">
        <v>50</v>
      </c>
      <c r="G1526" t="s">
        <v>17</v>
      </c>
      <c r="H1526" t="s">
        <v>51</v>
      </c>
      <c r="I1526" t="s">
        <v>465</v>
      </c>
      <c r="J1526" t="s">
        <v>466</v>
      </c>
      <c r="K1526" t="s">
        <v>1112</v>
      </c>
      <c r="L1526" t="s">
        <v>22</v>
      </c>
      <c r="M1526" s="1">
        <v>37681</v>
      </c>
      <c r="N1526">
        <v>2003</v>
      </c>
    </row>
    <row r="1527" spans="1:14">
      <c r="A1527" t="s">
        <v>14</v>
      </c>
      <c r="B1527" t="str">
        <f>"112802200301"</f>
        <v>112802200301</v>
      </c>
      <c r="C1527" t="s">
        <v>2105</v>
      </c>
      <c r="D1527" t="s">
        <v>24</v>
      </c>
      <c r="G1527" t="s">
        <v>17</v>
      </c>
      <c r="H1527" t="s">
        <v>51</v>
      </c>
      <c r="I1527" t="s">
        <v>465</v>
      </c>
      <c r="J1527" t="s">
        <v>466</v>
      </c>
      <c r="K1527" t="s">
        <v>994</v>
      </c>
      <c r="L1527" t="s">
        <v>63</v>
      </c>
      <c r="M1527" s="1">
        <v>37680</v>
      </c>
      <c r="N1527">
        <v>2003</v>
      </c>
    </row>
    <row r="1528" spans="1:14">
      <c r="A1528" t="s">
        <v>14</v>
      </c>
      <c r="B1528" t="str">
        <f>"110402200200"</f>
        <v>110402200200</v>
      </c>
      <c r="C1528" t="s">
        <v>2127</v>
      </c>
      <c r="D1528" t="s">
        <v>89</v>
      </c>
      <c r="G1528" t="s">
        <v>17</v>
      </c>
      <c r="H1528" t="s">
        <v>51</v>
      </c>
      <c r="I1528" t="s">
        <v>465</v>
      </c>
      <c r="J1528" t="s">
        <v>466</v>
      </c>
      <c r="K1528" t="s">
        <v>1112</v>
      </c>
      <c r="L1528" t="s">
        <v>22</v>
      </c>
      <c r="M1528" s="1">
        <v>37291</v>
      </c>
      <c r="N1528">
        <v>2002</v>
      </c>
    </row>
    <row r="1529" spans="1:14">
      <c r="A1529" t="s">
        <v>14</v>
      </c>
      <c r="B1529" t="str">
        <f>"112509200201"</f>
        <v>112509200201</v>
      </c>
      <c r="C1529" t="s">
        <v>2272</v>
      </c>
      <c r="D1529" t="s">
        <v>24</v>
      </c>
      <c r="G1529" t="s">
        <v>17</v>
      </c>
      <c r="H1529" t="s">
        <v>51</v>
      </c>
      <c r="I1529" t="s">
        <v>465</v>
      </c>
      <c r="J1529" t="s">
        <v>466</v>
      </c>
      <c r="K1529" t="s">
        <v>994</v>
      </c>
      <c r="L1529" t="s">
        <v>22</v>
      </c>
      <c r="M1529" s="1">
        <v>37524</v>
      </c>
      <c r="N1529">
        <v>2002</v>
      </c>
    </row>
    <row r="1530" spans="1:14">
      <c r="A1530" t="s">
        <v>14</v>
      </c>
      <c r="B1530" t="str">
        <f>"110907200202"</f>
        <v>110907200202</v>
      </c>
      <c r="C1530" t="s">
        <v>2427</v>
      </c>
      <c r="D1530" t="s">
        <v>95</v>
      </c>
      <c r="G1530" t="s">
        <v>17</v>
      </c>
      <c r="H1530" t="s">
        <v>51</v>
      </c>
      <c r="I1530" t="s">
        <v>465</v>
      </c>
      <c r="J1530" t="s">
        <v>466</v>
      </c>
      <c r="K1530" t="s">
        <v>994</v>
      </c>
      <c r="L1530" t="s">
        <v>22</v>
      </c>
      <c r="M1530" s="1">
        <v>37446</v>
      </c>
      <c r="N1530">
        <v>2002</v>
      </c>
    </row>
    <row r="1531" spans="1:14">
      <c r="A1531" t="s">
        <v>14</v>
      </c>
      <c r="B1531" t="str">
        <f>"111910200300"</f>
        <v>111910200300</v>
      </c>
      <c r="C1531" t="s">
        <v>2516</v>
      </c>
      <c r="D1531" t="s">
        <v>50</v>
      </c>
      <c r="G1531" t="s">
        <v>17</v>
      </c>
      <c r="H1531" t="s">
        <v>51</v>
      </c>
      <c r="I1531" t="s">
        <v>465</v>
      </c>
      <c r="J1531" t="s">
        <v>466</v>
      </c>
      <c r="K1531" t="s">
        <v>994</v>
      </c>
      <c r="L1531" t="s">
        <v>22</v>
      </c>
      <c r="M1531" s="1">
        <v>37913</v>
      </c>
      <c r="N1531">
        <v>2003</v>
      </c>
    </row>
    <row r="1532" spans="1:14">
      <c r="A1532" t="s">
        <v>14</v>
      </c>
      <c r="B1532" t="str">
        <f>"111902200200"</f>
        <v>111902200200</v>
      </c>
      <c r="C1532" t="s">
        <v>2689</v>
      </c>
      <c r="D1532" t="s">
        <v>89</v>
      </c>
      <c r="G1532" t="s">
        <v>17</v>
      </c>
      <c r="H1532" t="s">
        <v>51</v>
      </c>
      <c r="I1532" t="s">
        <v>465</v>
      </c>
      <c r="J1532" t="s">
        <v>466</v>
      </c>
      <c r="K1532" t="s">
        <v>994</v>
      </c>
      <c r="L1532" t="s">
        <v>22</v>
      </c>
      <c r="M1532" s="1">
        <v>37306</v>
      </c>
      <c r="N1532">
        <v>2002</v>
      </c>
    </row>
    <row r="1533" spans="1:14">
      <c r="A1533" t="s">
        <v>14</v>
      </c>
      <c r="B1533" t="str">
        <f>"110410200300"</f>
        <v>110410200300</v>
      </c>
      <c r="C1533" t="s">
        <v>2836</v>
      </c>
      <c r="D1533" t="s">
        <v>209</v>
      </c>
      <c r="G1533" t="s">
        <v>17</v>
      </c>
      <c r="H1533" t="s">
        <v>51</v>
      </c>
      <c r="I1533" t="s">
        <v>465</v>
      </c>
      <c r="J1533" t="s">
        <v>466</v>
      </c>
      <c r="K1533" t="s">
        <v>1112</v>
      </c>
      <c r="L1533" t="s">
        <v>22</v>
      </c>
      <c r="M1533" s="1">
        <v>37898</v>
      </c>
      <c r="N1533">
        <v>2003</v>
      </c>
    </row>
    <row r="1534" spans="1:14">
      <c r="A1534" t="s">
        <v>14</v>
      </c>
      <c r="B1534" t="str">
        <f>"112705200301"</f>
        <v>112705200301</v>
      </c>
      <c r="C1534" t="s">
        <v>2905</v>
      </c>
      <c r="D1534" t="s">
        <v>305</v>
      </c>
      <c r="G1534" t="s">
        <v>17</v>
      </c>
      <c r="H1534" t="s">
        <v>51</v>
      </c>
      <c r="I1534" t="s">
        <v>465</v>
      </c>
      <c r="J1534" t="s">
        <v>466</v>
      </c>
      <c r="K1534" t="s">
        <v>994</v>
      </c>
      <c r="L1534" t="s">
        <v>22</v>
      </c>
      <c r="M1534" s="1">
        <v>37768</v>
      </c>
      <c r="N1534">
        <v>2003</v>
      </c>
    </row>
    <row r="1535" spans="1:14">
      <c r="A1535" t="s">
        <v>14</v>
      </c>
      <c r="B1535" t="str">
        <f>"110602200400"</f>
        <v>110602200400</v>
      </c>
      <c r="C1535" t="s">
        <v>555</v>
      </c>
      <c r="D1535" t="s">
        <v>194</v>
      </c>
      <c r="G1535" t="s">
        <v>32</v>
      </c>
      <c r="H1535" t="s">
        <v>33</v>
      </c>
      <c r="I1535" t="s">
        <v>148</v>
      </c>
      <c r="J1535" t="s">
        <v>149</v>
      </c>
      <c r="K1535" t="s">
        <v>150</v>
      </c>
      <c r="L1535" t="s">
        <v>22</v>
      </c>
      <c r="M1535" s="1">
        <v>38023</v>
      </c>
      <c r="N1535">
        <v>2004</v>
      </c>
    </row>
    <row r="1536" spans="1:14">
      <c r="A1536" t="s">
        <v>14</v>
      </c>
      <c r="B1536" t="str">
        <f>"121409200500"</f>
        <v>121409200500</v>
      </c>
      <c r="C1536" t="s">
        <v>2238</v>
      </c>
      <c r="D1536" t="s">
        <v>139</v>
      </c>
      <c r="G1536" t="s">
        <v>32</v>
      </c>
      <c r="H1536" t="s">
        <v>33</v>
      </c>
      <c r="I1536" t="s">
        <v>148</v>
      </c>
      <c r="J1536" t="s">
        <v>149</v>
      </c>
      <c r="K1536" t="s">
        <v>2239</v>
      </c>
      <c r="L1536" t="s">
        <v>22</v>
      </c>
      <c r="M1536" s="1">
        <v>38609</v>
      </c>
      <c r="N1536">
        <v>2005</v>
      </c>
    </row>
    <row r="1537" spans="1:14">
      <c r="A1537" t="s">
        <v>14</v>
      </c>
      <c r="B1537" t="str">
        <f>"122806200300"</f>
        <v>122806200300</v>
      </c>
      <c r="C1537" t="s">
        <v>749</v>
      </c>
      <c r="D1537" t="s">
        <v>232</v>
      </c>
      <c r="G1537" t="s">
        <v>32</v>
      </c>
      <c r="H1537" t="s">
        <v>65</v>
      </c>
      <c r="I1537" t="s">
        <v>148</v>
      </c>
      <c r="J1537" t="s">
        <v>149</v>
      </c>
      <c r="K1537" t="s">
        <v>635</v>
      </c>
      <c r="L1537" t="s">
        <v>22</v>
      </c>
      <c r="M1537" s="1">
        <v>37800</v>
      </c>
      <c r="N1537">
        <v>2003</v>
      </c>
    </row>
    <row r="1538" spans="1:14">
      <c r="A1538" t="s">
        <v>14</v>
      </c>
      <c r="B1538" t="str">
        <f>"121610200300"</f>
        <v>121610200300</v>
      </c>
      <c r="C1538" t="s">
        <v>1332</v>
      </c>
      <c r="D1538" t="s">
        <v>249</v>
      </c>
      <c r="G1538" t="s">
        <v>32</v>
      </c>
      <c r="H1538" t="s">
        <v>65</v>
      </c>
      <c r="I1538" t="s">
        <v>148</v>
      </c>
      <c r="J1538" t="s">
        <v>149</v>
      </c>
      <c r="K1538" t="s">
        <v>635</v>
      </c>
      <c r="L1538" t="s">
        <v>22</v>
      </c>
      <c r="M1538" s="1">
        <v>37910</v>
      </c>
      <c r="N1538">
        <v>2003</v>
      </c>
    </row>
    <row r="1539" spans="1:14">
      <c r="A1539" t="s">
        <v>14</v>
      </c>
      <c r="B1539" t="str">
        <f>"122203200300"</f>
        <v>122203200300</v>
      </c>
      <c r="C1539" t="s">
        <v>1668</v>
      </c>
      <c r="D1539" t="s">
        <v>611</v>
      </c>
      <c r="G1539" t="s">
        <v>32</v>
      </c>
      <c r="H1539" t="s">
        <v>65</v>
      </c>
      <c r="I1539" t="s">
        <v>148</v>
      </c>
      <c r="J1539" t="s">
        <v>149</v>
      </c>
      <c r="K1539" t="s">
        <v>635</v>
      </c>
      <c r="L1539" t="s">
        <v>22</v>
      </c>
      <c r="M1539" s="1">
        <v>37702</v>
      </c>
      <c r="N1539">
        <v>2003</v>
      </c>
    </row>
    <row r="1540" spans="1:14">
      <c r="A1540" t="s">
        <v>14</v>
      </c>
      <c r="B1540" t="str">
        <f>"120308199800"</f>
        <v>120308199800</v>
      </c>
      <c r="C1540" t="s">
        <v>1628</v>
      </c>
      <c r="D1540" t="s">
        <v>611</v>
      </c>
      <c r="G1540" t="s">
        <v>32</v>
      </c>
      <c r="H1540" t="s">
        <v>59</v>
      </c>
      <c r="I1540" t="s">
        <v>148</v>
      </c>
      <c r="J1540" t="s">
        <v>149</v>
      </c>
      <c r="K1540" t="s">
        <v>1629</v>
      </c>
      <c r="L1540" t="s">
        <v>48</v>
      </c>
      <c r="M1540" s="1">
        <v>36010</v>
      </c>
      <c r="N1540">
        <v>1998</v>
      </c>
    </row>
    <row r="1541" spans="1:14">
      <c r="A1541" t="s">
        <v>14</v>
      </c>
      <c r="B1541" t="str">
        <f>"120105199600"</f>
        <v>120105199600</v>
      </c>
      <c r="C1541" t="s">
        <v>2260</v>
      </c>
      <c r="D1541" t="s">
        <v>127</v>
      </c>
      <c r="G1541" t="s">
        <v>32</v>
      </c>
      <c r="H1541" t="s">
        <v>59</v>
      </c>
      <c r="I1541" t="s">
        <v>148</v>
      </c>
      <c r="J1541" t="s">
        <v>149</v>
      </c>
      <c r="K1541" t="s">
        <v>1629</v>
      </c>
      <c r="L1541" t="s">
        <v>48</v>
      </c>
      <c r="M1541" s="1">
        <v>35186</v>
      </c>
      <c r="N1541">
        <v>1996</v>
      </c>
    </row>
    <row r="1542" spans="1:14">
      <c r="A1542" t="s">
        <v>14</v>
      </c>
      <c r="B1542" t="str">
        <f>"120804199500"</f>
        <v>120804199500</v>
      </c>
      <c r="C1542" t="s">
        <v>2360</v>
      </c>
      <c r="D1542" t="s">
        <v>541</v>
      </c>
      <c r="G1542" t="s">
        <v>32</v>
      </c>
      <c r="H1542" t="s">
        <v>59</v>
      </c>
      <c r="I1542" t="s">
        <v>148</v>
      </c>
      <c r="J1542" t="s">
        <v>149</v>
      </c>
      <c r="K1542" t="s">
        <v>635</v>
      </c>
      <c r="L1542" t="s">
        <v>48</v>
      </c>
      <c r="M1542" s="1">
        <v>34797</v>
      </c>
      <c r="N1542">
        <v>1995</v>
      </c>
    </row>
    <row r="1543" spans="1:14">
      <c r="A1543" t="s">
        <v>14</v>
      </c>
      <c r="B1543" t="str">
        <f>"111302199800"</f>
        <v>111302199800</v>
      </c>
      <c r="C1543" t="s">
        <v>708</v>
      </c>
      <c r="D1543" t="s">
        <v>129</v>
      </c>
      <c r="G1543" t="s">
        <v>17</v>
      </c>
      <c r="H1543" t="s">
        <v>25</v>
      </c>
      <c r="I1543" t="s">
        <v>148</v>
      </c>
      <c r="J1543" t="s">
        <v>149</v>
      </c>
      <c r="K1543" t="s">
        <v>635</v>
      </c>
      <c r="L1543" t="s">
        <v>22</v>
      </c>
      <c r="M1543" s="1">
        <v>35839</v>
      </c>
      <c r="N1543">
        <v>1998</v>
      </c>
    </row>
    <row r="1544" spans="1:14">
      <c r="A1544" t="s">
        <v>14</v>
      </c>
      <c r="B1544" t="str">
        <f>"111903199702"</f>
        <v>111903199702</v>
      </c>
      <c r="C1544" t="s">
        <v>1318</v>
      </c>
      <c r="D1544" t="s">
        <v>920</v>
      </c>
      <c r="G1544" t="s">
        <v>17</v>
      </c>
      <c r="H1544" t="s">
        <v>25</v>
      </c>
      <c r="I1544" t="s">
        <v>148</v>
      </c>
      <c r="J1544" t="s">
        <v>149</v>
      </c>
      <c r="K1544" t="s">
        <v>635</v>
      </c>
      <c r="L1544" t="s">
        <v>22</v>
      </c>
      <c r="M1544" s="1">
        <v>35508</v>
      </c>
      <c r="N1544">
        <v>1997</v>
      </c>
    </row>
    <row r="1545" spans="1:14">
      <c r="A1545" t="s">
        <v>14</v>
      </c>
      <c r="B1545" t="str">
        <f>"112102199702"</f>
        <v>112102199702</v>
      </c>
      <c r="C1545" t="s">
        <v>1753</v>
      </c>
      <c r="D1545" t="s">
        <v>50</v>
      </c>
      <c r="G1545" t="s">
        <v>17</v>
      </c>
      <c r="H1545" t="s">
        <v>25</v>
      </c>
      <c r="I1545" t="s">
        <v>148</v>
      </c>
      <c r="J1545" t="s">
        <v>149</v>
      </c>
      <c r="K1545" t="s">
        <v>1629</v>
      </c>
      <c r="L1545" t="s">
        <v>22</v>
      </c>
      <c r="M1545" s="1">
        <v>35482</v>
      </c>
      <c r="N1545">
        <v>1997</v>
      </c>
    </row>
    <row r="1546" spans="1:14">
      <c r="A1546" t="s">
        <v>14</v>
      </c>
      <c r="B1546" t="str">
        <f>"112507199800"</f>
        <v>112507199800</v>
      </c>
      <c r="C1546" t="s">
        <v>2165</v>
      </c>
      <c r="D1546" t="s">
        <v>155</v>
      </c>
      <c r="G1546" t="s">
        <v>17</v>
      </c>
      <c r="H1546" t="s">
        <v>25</v>
      </c>
      <c r="I1546" t="s">
        <v>148</v>
      </c>
      <c r="J1546" t="s">
        <v>149</v>
      </c>
      <c r="K1546" t="s">
        <v>913</v>
      </c>
      <c r="L1546" t="s">
        <v>63</v>
      </c>
      <c r="M1546" s="1">
        <v>36001</v>
      </c>
      <c r="N1546">
        <v>1998</v>
      </c>
    </row>
    <row r="1547" spans="1:14">
      <c r="A1547" t="s">
        <v>14</v>
      </c>
      <c r="B1547" t="str">
        <f>"112504200102"</f>
        <v>112504200102</v>
      </c>
      <c r="C1547" t="s">
        <v>634</v>
      </c>
      <c r="D1547" t="s">
        <v>98</v>
      </c>
      <c r="G1547" t="s">
        <v>17</v>
      </c>
      <c r="H1547" t="s">
        <v>18</v>
      </c>
      <c r="I1547" t="s">
        <v>148</v>
      </c>
      <c r="J1547" t="s">
        <v>149</v>
      </c>
      <c r="K1547" t="s">
        <v>635</v>
      </c>
      <c r="M1547" s="1">
        <v>37006</v>
      </c>
      <c r="N1547">
        <v>2001</v>
      </c>
    </row>
    <row r="1548" spans="1:14">
      <c r="A1548" t="s">
        <v>14</v>
      </c>
      <c r="B1548" t="str">
        <f>"112706199900"</f>
        <v>112706199900</v>
      </c>
      <c r="C1548" t="s">
        <v>912</v>
      </c>
      <c r="D1548" t="s">
        <v>50</v>
      </c>
      <c r="G1548" t="s">
        <v>17</v>
      </c>
      <c r="H1548" t="s">
        <v>18</v>
      </c>
      <c r="I1548" t="s">
        <v>148</v>
      </c>
      <c r="J1548" t="s">
        <v>149</v>
      </c>
      <c r="K1548" t="s">
        <v>913</v>
      </c>
      <c r="L1548" t="s">
        <v>22</v>
      </c>
      <c r="M1548" s="1">
        <v>36338</v>
      </c>
      <c r="N1548">
        <v>1999</v>
      </c>
    </row>
    <row r="1549" spans="1:14">
      <c r="A1549" t="s">
        <v>14</v>
      </c>
      <c r="B1549" t="str">
        <f>"110706200100"</f>
        <v>110706200100</v>
      </c>
      <c r="C1549" t="s">
        <v>1076</v>
      </c>
      <c r="D1549" t="s">
        <v>155</v>
      </c>
      <c r="G1549" t="s">
        <v>17</v>
      </c>
      <c r="H1549" t="s">
        <v>18</v>
      </c>
      <c r="I1549" t="s">
        <v>148</v>
      </c>
      <c r="J1549" t="s">
        <v>149</v>
      </c>
      <c r="K1549" t="s">
        <v>635</v>
      </c>
      <c r="L1549" t="s">
        <v>22</v>
      </c>
      <c r="M1549" s="1">
        <v>37049</v>
      </c>
      <c r="N1549">
        <v>2001</v>
      </c>
    </row>
    <row r="1550" spans="1:14">
      <c r="A1550" t="s">
        <v>14</v>
      </c>
      <c r="B1550" t="str">
        <f>"112705200002"</f>
        <v>112705200002</v>
      </c>
      <c r="C1550" t="s">
        <v>1318</v>
      </c>
      <c r="D1550" t="s">
        <v>136</v>
      </c>
      <c r="G1550" t="s">
        <v>17</v>
      </c>
      <c r="H1550" t="s">
        <v>18</v>
      </c>
      <c r="I1550" t="s">
        <v>148</v>
      </c>
      <c r="J1550" t="s">
        <v>149</v>
      </c>
      <c r="K1550" t="s">
        <v>635</v>
      </c>
      <c r="L1550" t="s">
        <v>22</v>
      </c>
      <c r="M1550" s="1">
        <v>36673</v>
      </c>
      <c r="N1550">
        <v>2000</v>
      </c>
    </row>
    <row r="1551" spans="1:14">
      <c r="A1551" t="s">
        <v>14</v>
      </c>
      <c r="B1551" t="str">
        <f>"112703200000"</f>
        <v>112703200000</v>
      </c>
      <c r="C1551" t="s">
        <v>2336</v>
      </c>
      <c r="D1551" t="s">
        <v>631</v>
      </c>
      <c r="G1551" t="s">
        <v>17</v>
      </c>
      <c r="H1551" t="s">
        <v>18</v>
      </c>
      <c r="I1551" t="s">
        <v>148</v>
      </c>
      <c r="J1551" t="s">
        <v>149</v>
      </c>
      <c r="K1551" t="s">
        <v>635</v>
      </c>
      <c r="L1551" t="s">
        <v>22</v>
      </c>
      <c r="M1551" s="1">
        <v>36612</v>
      </c>
      <c r="N1551">
        <v>2000</v>
      </c>
    </row>
    <row r="1552" spans="1:14">
      <c r="A1552" t="s">
        <v>14</v>
      </c>
      <c r="B1552" t="str">
        <f>"111902200304"</f>
        <v>111902200304</v>
      </c>
      <c r="C1552" t="s">
        <v>147</v>
      </c>
      <c r="D1552" t="s">
        <v>95</v>
      </c>
      <c r="G1552" t="s">
        <v>17</v>
      </c>
      <c r="H1552" t="s">
        <v>51</v>
      </c>
      <c r="I1552" t="s">
        <v>148</v>
      </c>
      <c r="J1552" t="s">
        <v>149</v>
      </c>
      <c r="K1552" t="s">
        <v>150</v>
      </c>
      <c r="L1552" t="s">
        <v>22</v>
      </c>
      <c r="M1552" s="1">
        <v>37671</v>
      </c>
      <c r="N1552">
        <v>2003</v>
      </c>
    </row>
    <row r="1553" spans="1:14">
      <c r="A1553" t="s">
        <v>14</v>
      </c>
      <c r="B1553" t="str">
        <f>"111106200200"</f>
        <v>111106200200</v>
      </c>
      <c r="C1553" t="s">
        <v>1527</v>
      </c>
      <c r="D1553" t="s">
        <v>1103</v>
      </c>
      <c r="G1553" t="s">
        <v>17</v>
      </c>
      <c r="H1553" t="s">
        <v>51</v>
      </c>
      <c r="I1553" t="s">
        <v>148</v>
      </c>
      <c r="J1553" t="s">
        <v>149</v>
      </c>
      <c r="K1553" t="s">
        <v>635</v>
      </c>
      <c r="M1553" s="1">
        <v>37418</v>
      </c>
      <c r="N1553">
        <v>2002</v>
      </c>
    </row>
    <row r="1554" spans="1:14">
      <c r="A1554" t="s">
        <v>14</v>
      </c>
      <c r="B1554" t="str">
        <f>"110603200201"</f>
        <v>110603200201</v>
      </c>
      <c r="C1554" t="s">
        <v>1671</v>
      </c>
      <c r="D1554" t="s">
        <v>886</v>
      </c>
      <c r="G1554" t="s">
        <v>17</v>
      </c>
      <c r="H1554" t="s">
        <v>51</v>
      </c>
      <c r="I1554" t="s">
        <v>148</v>
      </c>
      <c r="J1554" t="s">
        <v>149</v>
      </c>
      <c r="K1554" t="s">
        <v>635</v>
      </c>
      <c r="L1554" t="s">
        <v>22</v>
      </c>
      <c r="M1554" s="1">
        <v>37321</v>
      </c>
      <c r="N1554">
        <v>2002</v>
      </c>
    </row>
    <row r="1555" spans="1:14">
      <c r="A1555" t="s">
        <v>14</v>
      </c>
      <c r="B1555" t="str">
        <f>"110802200300"</f>
        <v>110802200300</v>
      </c>
      <c r="C1555" t="s">
        <v>1820</v>
      </c>
      <c r="D1555" t="s">
        <v>136</v>
      </c>
      <c r="G1555" t="s">
        <v>17</v>
      </c>
      <c r="H1555" t="s">
        <v>51</v>
      </c>
      <c r="I1555" t="s">
        <v>148</v>
      </c>
      <c r="J1555" t="s">
        <v>149</v>
      </c>
      <c r="K1555" t="s">
        <v>635</v>
      </c>
      <c r="L1555" t="s">
        <v>22</v>
      </c>
      <c r="M1555" s="1">
        <v>37660</v>
      </c>
      <c r="N1555">
        <v>2003</v>
      </c>
    </row>
    <row r="1556" spans="1:14">
      <c r="A1556" t="s">
        <v>14</v>
      </c>
      <c r="B1556" t="str">
        <f>"110102200300"</f>
        <v>110102200300</v>
      </c>
      <c r="C1556" t="s">
        <v>2112</v>
      </c>
      <c r="D1556" t="s">
        <v>2115</v>
      </c>
      <c r="G1556" t="s">
        <v>17</v>
      </c>
      <c r="H1556" t="s">
        <v>51</v>
      </c>
      <c r="I1556" t="s">
        <v>148</v>
      </c>
      <c r="J1556" t="s">
        <v>149</v>
      </c>
      <c r="K1556" t="s">
        <v>150</v>
      </c>
      <c r="L1556" t="s">
        <v>22</v>
      </c>
      <c r="M1556" s="1">
        <v>37653</v>
      </c>
      <c r="N1556">
        <v>2003</v>
      </c>
    </row>
    <row r="1557" spans="1:14">
      <c r="A1557" t="s">
        <v>14</v>
      </c>
      <c r="B1557" t="str">
        <f>"112701200302"</f>
        <v>112701200302</v>
      </c>
      <c r="C1557" t="s">
        <v>2181</v>
      </c>
      <c r="D1557" t="s">
        <v>155</v>
      </c>
      <c r="G1557" t="s">
        <v>17</v>
      </c>
      <c r="H1557" t="s">
        <v>51</v>
      </c>
      <c r="I1557" t="s">
        <v>148</v>
      </c>
      <c r="J1557" t="s">
        <v>149</v>
      </c>
      <c r="K1557" t="s">
        <v>150</v>
      </c>
      <c r="L1557" t="s">
        <v>22</v>
      </c>
      <c r="M1557" s="1">
        <v>37648</v>
      </c>
      <c r="N1557">
        <v>2003</v>
      </c>
    </row>
    <row r="1558" spans="1:14">
      <c r="A1558" t="s">
        <v>14</v>
      </c>
      <c r="B1558" t="str">
        <f>"110207200300"</f>
        <v>110207200300</v>
      </c>
      <c r="C1558" t="s">
        <v>2255</v>
      </c>
      <c r="D1558" t="s">
        <v>590</v>
      </c>
      <c r="G1558" t="s">
        <v>17</v>
      </c>
      <c r="H1558" t="s">
        <v>51</v>
      </c>
      <c r="I1558" t="s">
        <v>148</v>
      </c>
      <c r="J1558" t="s">
        <v>149</v>
      </c>
      <c r="K1558" t="s">
        <v>150</v>
      </c>
      <c r="L1558" t="s">
        <v>22</v>
      </c>
      <c r="M1558" s="1">
        <v>37804</v>
      </c>
      <c r="N1558">
        <v>2003</v>
      </c>
    </row>
    <row r="1559" spans="1:14">
      <c r="A1559" t="s">
        <v>14</v>
      </c>
      <c r="B1559" t="str">
        <f>"113001200201"</f>
        <v>113001200201</v>
      </c>
      <c r="C1559" t="s">
        <v>2546</v>
      </c>
      <c r="D1559" t="s">
        <v>209</v>
      </c>
      <c r="G1559" t="s">
        <v>17</v>
      </c>
      <c r="H1559" t="s">
        <v>51</v>
      </c>
      <c r="I1559" t="s">
        <v>148</v>
      </c>
      <c r="J1559" t="s">
        <v>149</v>
      </c>
      <c r="K1559" t="s">
        <v>635</v>
      </c>
      <c r="L1559" t="s">
        <v>22</v>
      </c>
      <c r="M1559" s="1">
        <v>37286</v>
      </c>
      <c r="N1559">
        <v>2002</v>
      </c>
    </row>
    <row r="1560" spans="1:14">
      <c r="A1560" t="s">
        <v>14</v>
      </c>
      <c r="B1560" t="str">
        <f>"110908200201"</f>
        <v>110908200201</v>
      </c>
      <c r="C1560" t="s">
        <v>2549</v>
      </c>
      <c r="D1560" t="s">
        <v>113</v>
      </c>
      <c r="G1560" t="s">
        <v>17</v>
      </c>
      <c r="H1560" t="s">
        <v>51</v>
      </c>
      <c r="I1560" t="s">
        <v>148</v>
      </c>
      <c r="J1560" t="s">
        <v>149</v>
      </c>
      <c r="K1560" t="s">
        <v>635</v>
      </c>
      <c r="M1560" s="1">
        <v>37477</v>
      </c>
      <c r="N1560">
        <v>2002</v>
      </c>
    </row>
    <row r="1561" spans="1:14">
      <c r="A1561" t="s">
        <v>14</v>
      </c>
      <c r="B1561" t="str">
        <f>"121206200400"</f>
        <v>121206200400</v>
      </c>
      <c r="C1561" t="s">
        <v>1950</v>
      </c>
      <c r="D1561" t="s">
        <v>238</v>
      </c>
      <c r="G1561" t="s">
        <v>32</v>
      </c>
      <c r="H1561" t="s">
        <v>33</v>
      </c>
      <c r="I1561" t="s">
        <v>144</v>
      </c>
      <c r="J1561" t="s">
        <v>145</v>
      </c>
      <c r="K1561" t="s">
        <v>261</v>
      </c>
      <c r="M1561" s="1">
        <v>38150</v>
      </c>
      <c r="N1561">
        <v>2004</v>
      </c>
    </row>
    <row r="1562" spans="1:14">
      <c r="A1562" t="s">
        <v>14</v>
      </c>
      <c r="B1562" t="str">
        <f>"121612200400"</f>
        <v>121612200400</v>
      </c>
      <c r="C1562" t="s">
        <v>1979</v>
      </c>
      <c r="D1562" t="s">
        <v>609</v>
      </c>
      <c r="G1562" t="s">
        <v>32</v>
      </c>
      <c r="H1562" t="s">
        <v>33</v>
      </c>
      <c r="I1562" t="s">
        <v>144</v>
      </c>
      <c r="J1562" t="s">
        <v>145</v>
      </c>
      <c r="K1562" t="s">
        <v>261</v>
      </c>
      <c r="M1562" s="1">
        <v>38337</v>
      </c>
      <c r="N1562">
        <v>2004</v>
      </c>
    </row>
    <row r="1563" spans="1:14">
      <c r="A1563" t="s">
        <v>14</v>
      </c>
      <c r="B1563" t="str">
        <f>"121912200400"</f>
        <v>121912200400</v>
      </c>
      <c r="C1563" t="s">
        <v>2223</v>
      </c>
      <c r="D1563" t="s">
        <v>249</v>
      </c>
      <c r="G1563" t="s">
        <v>32</v>
      </c>
      <c r="H1563" t="s">
        <v>33</v>
      </c>
      <c r="I1563" t="s">
        <v>144</v>
      </c>
      <c r="J1563" t="s">
        <v>145</v>
      </c>
      <c r="K1563" t="s">
        <v>146</v>
      </c>
      <c r="L1563" t="s">
        <v>22</v>
      </c>
      <c r="M1563" s="1">
        <v>38340</v>
      </c>
      <c r="N1563">
        <v>2004</v>
      </c>
    </row>
    <row r="1564" spans="1:14">
      <c r="A1564" t="s">
        <v>14</v>
      </c>
      <c r="B1564" t="str">
        <f>"123110200301"</f>
        <v>123110200301</v>
      </c>
      <c r="C1564" t="s">
        <v>138</v>
      </c>
      <c r="D1564" t="s">
        <v>143</v>
      </c>
      <c r="G1564" t="s">
        <v>32</v>
      </c>
      <c r="H1564" t="s">
        <v>65</v>
      </c>
      <c r="I1564" t="s">
        <v>144</v>
      </c>
      <c r="J1564" t="s">
        <v>145</v>
      </c>
      <c r="K1564" t="s">
        <v>146</v>
      </c>
      <c r="L1564" t="s">
        <v>63</v>
      </c>
      <c r="M1564" s="1">
        <v>37925</v>
      </c>
      <c r="N1564">
        <v>2003</v>
      </c>
    </row>
    <row r="1565" spans="1:14">
      <c r="A1565" t="s">
        <v>14</v>
      </c>
      <c r="B1565" t="str">
        <f>"120705200300"</f>
        <v>120705200300</v>
      </c>
      <c r="C1565" t="s">
        <v>368</v>
      </c>
      <c r="D1565" t="s">
        <v>31</v>
      </c>
      <c r="G1565" t="s">
        <v>32</v>
      </c>
      <c r="H1565" t="s">
        <v>65</v>
      </c>
      <c r="I1565" t="s">
        <v>144</v>
      </c>
      <c r="J1565" t="s">
        <v>145</v>
      </c>
      <c r="K1565" t="s">
        <v>261</v>
      </c>
      <c r="L1565" t="s">
        <v>22</v>
      </c>
      <c r="M1565" s="1">
        <v>37748</v>
      </c>
      <c r="N1565">
        <v>2003</v>
      </c>
    </row>
    <row r="1566" spans="1:14">
      <c r="A1566" t="s">
        <v>14</v>
      </c>
      <c r="B1566" t="str">
        <f>"122301200300"</f>
        <v>122301200300</v>
      </c>
      <c r="C1566" t="s">
        <v>677</v>
      </c>
      <c r="D1566" t="s">
        <v>232</v>
      </c>
      <c r="G1566" t="s">
        <v>32</v>
      </c>
      <c r="H1566" t="s">
        <v>65</v>
      </c>
      <c r="I1566" t="s">
        <v>144</v>
      </c>
      <c r="J1566" t="s">
        <v>145</v>
      </c>
      <c r="K1566" t="s">
        <v>261</v>
      </c>
      <c r="M1566" s="1">
        <v>37644</v>
      </c>
      <c r="N1566">
        <v>2003</v>
      </c>
    </row>
    <row r="1567" spans="1:14">
      <c r="A1567" t="s">
        <v>14</v>
      </c>
      <c r="B1567" t="str">
        <f>"122406200300"</f>
        <v>122406200300</v>
      </c>
      <c r="C1567" t="s">
        <v>906</v>
      </c>
      <c r="D1567" t="s">
        <v>609</v>
      </c>
      <c r="G1567" t="s">
        <v>32</v>
      </c>
      <c r="H1567" t="s">
        <v>65</v>
      </c>
      <c r="I1567" t="s">
        <v>144</v>
      </c>
      <c r="J1567" t="s">
        <v>145</v>
      </c>
      <c r="K1567" t="s">
        <v>261</v>
      </c>
      <c r="M1567" s="1">
        <v>37796</v>
      </c>
      <c r="N1567">
        <v>2003</v>
      </c>
    </row>
    <row r="1568" spans="1:14">
      <c r="A1568" t="s">
        <v>14</v>
      </c>
      <c r="B1568" t="str">
        <f>"122310200303"</f>
        <v>122310200303</v>
      </c>
      <c r="C1568" t="s">
        <v>1938</v>
      </c>
      <c r="D1568" t="s">
        <v>1939</v>
      </c>
      <c r="G1568" t="s">
        <v>32</v>
      </c>
      <c r="H1568" t="s">
        <v>65</v>
      </c>
      <c r="I1568" t="s">
        <v>144</v>
      </c>
      <c r="J1568" t="s">
        <v>145</v>
      </c>
      <c r="K1568" t="s">
        <v>146</v>
      </c>
      <c r="L1568" t="s">
        <v>22</v>
      </c>
      <c r="M1568" s="1">
        <v>37917</v>
      </c>
      <c r="N1568">
        <v>2003</v>
      </c>
    </row>
    <row r="1569" spans="1:14">
      <c r="A1569" t="s">
        <v>14</v>
      </c>
      <c r="B1569" t="str">
        <f>"121603200300"</f>
        <v>121603200300</v>
      </c>
      <c r="C1569" t="s">
        <v>2225</v>
      </c>
      <c r="D1569" t="s">
        <v>510</v>
      </c>
      <c r="G1569" t="s">
        <v>32</v>
      </c>
      <c r="H1569" t="s">
        <v>65</v>
      </c>
      <c r="I1569" t="s">
        <v>144</v>
      </c>
      <c r="J1569" t="s">
        <v>145</v>
      </c>
      <c r="K1569" t="s">
        <v>261</v>
      </c>
      <c r="L1569" t="s">
        <v>22</v>
      </c>
      <c r="M1569" s="1">
        <v>37696</v>
      </c>
      <c r="N1569">
        <v>2003</v>
      </c>
    </row>
    <row r="1570" spans="1:14">
      <c r="A1570" t="s">
        <v>14</v>
      </c>
      <c r="B1570" t="str">
        <f>"121705200200"</f>
        <v>121705200200</v>
      </c>
      <c r="C1570" t="s">
        <v>2296</v>
      </c>
      <c r="D1570" t="s">
        <v>380</v>
      </c>
      <c r="G1570" t="s">
        <v>32</v>
      </c>
      <c r="H1570" t="s">
        <v>65</v>
      </c>
      <c r="I1570" t="s">
        <v>144</v>
      </c>
      <c r="J1570" t="s">
        <v>145</v>
      </c>
      <c r="K1570" t="s">
        <v>261</v>
      </c>
      <c r="M1570" s="1">
        <v>37393</v>
      </c>
      <c r="N1570">
        <v>2002</v>
      </c>
    </row>
    <row r="1571" spans="1:14">
      <c r="A1571" t="s">
        <v>14</v>
      </c>
      <c r="B1571" t="str">
        <f>"120910200200"</f>
        <v>120910200200</v>
      </c>
      <c r="C1571" t="s">
        <v>2327</v>
      </c>
      <c r="D1571" t="s">
        <v>143</v>
      </c>
      <c r="G1571" t="s">
        <v>32</v>
      </c>
      <c r="H1571" t="s">
        <v>65</v>
      </c>
      <c r="I1571" t="s">
        <v>144</v>
      </c>
      <c r="J1571" t="s">
        <v>145</v>
      </c>
      <c r="K1571" t="s">
        <v>261</v>
      </c>
      <c r="L1571" t="s">
        <v>63</v>
      </c>
      <c r="M1571" s="1">
        <v>37538</v>
      </c>
      <c r="N1571">
        <v>2002</v>
      </c>
    </row>
    <row r="1572" spans="1:14">
      <c r="A1572" t="s">
        <v>14</v>
      </c>
      <c r="B1572" t="str">
        <f>"122911200200"</f>
        <v>122911200200</v>
      </c>
      <c r="C1572" t="s">
        <v>2439</v>
      </c>
      <c r="D1572" t="s">
        <v>31</v>
      </c>
      <c r="G1572" t="s">
        <v>32</v>
      </c>
      <c r="H1572" t="s">
        <v>65</v>
      </c>
      <c r="I1572" t="s">
        <v>144</v>
      </c>
      <c r="J1572" t="s">
        <v>145</v>
      </c>
      <c r="K1572" t="s">
        <v>261</v>
      </c>
      <c r="L1572" t="s">
        <v>22</v>
      </c>
      <c r="M1572" s="1">
        <v>37589</v>
      </c>
      <c r="N1572">
        <v>2002</v>
      </c>
    </row>
    <row r="1573" spans="1:14">
      <c r="A1573" t="s">
        <v>14</v>
      </c>
      <c r="B1573" t="str">
        <f>"122802200300"</f>
        <v>122802200300</v>
      </c>
      <c r="C1573" t="s">
        <v>2503</v>
      </c>
      <c r="D1573" t="s">
        <v>493</v>
      </c>
      <c r="G1573" t="s">
        <v>32</v>
      </c>
      <c r="H1573" t="s">
        <v>65</v>
      </c>
      <c r="I1573" t="s">
        <v>144</v>
      </c>
      <c r="J1573" t="s">
        <v>145</v>
      </c>
      <c r="K1573" t="s">
        <v>261</v>
      </c>
      <c r="L1573" t="s">
        <v>22</v>
      </c>
      <c r="M1573" s="1">
        <v>37680</v>
      </c>
      <c r="N1573">
        <v>2003</v>
      </c>
    </row>
    <row r="1574" spans="1:14">
      <c r="A1574" t="s">
        <v>14</v>
      </c>
      <c r="B1574" t="str">
        <f>"121703200301"</f>
        <v>121703200301</v>
      </c>
      <c r="C1574" t="s">
        <v>2756</v>
      </c>
      <c r="D1574" t="s">
        <v>409</v>
      </c>
      <c r="G1574" t="s">
        <v>32</v>
      </c>
      <c r="H1574" t="s">
        <v>65</v>
      </c>
      <c r="I1574" t="s">
        <v>144</v>
      </c>
      <c r="J1574" t="s">
        <v>145</v>
      </c>
      <c r="K1574" t="s">
        <v>261</v>
      </c>
      <c r="L1574" t="s">
        <v>22</v>
      </c>
      <c r="M1574" s="1">
        <v>37697</v>
      </c>
      <c r="N1574">
        <v>2003</v>
      </c>
    </row>
    <row r="1575" spans="1:14">
      <c r="A1575" t="s">
        <v>14</v>
      </c>
      <c r="B1575" t="str">
        <f>"123004200300"</f>
        <v>123004200300</v>
      </c>
      <c r="C1575" t="s">
        <v>2773</v>
      </c>
      <c r="D1575" t="s">
        <v>194</v>
      </c>
      <c r="G1575" t="s">
        <v>32</v>
      </c>
      <c r="H1575" t="s">
        <v>65</v>
      </c>
      <c r="I1575" t="s">
        <v>144</v>
      </c>
      <c r="J1575" t="s">
        <v>145</v>
      </c>
      <c r="K1575" t="s">
        <v>261</v>
      </c>
      <c r="L1575" t="s">
        <v>22</v>
      </c>
      <c r="M1575" s="1">
        <v>37741</v>
      </c>
      <c r="N1575">
        <v>2003</v>
      </c>
    </row>
    <row r="1576" spans="1:14">
      <c r="A1576" t="s">
        <v>14</v>
      </c>
      <c r="B1576" t="str">
        <f>"120509200302"</f>
        <v>120509200302</v>
      </c>
      <c r="C1576" t="s">
        <v>2821</v>
      </c>
      <c r="D1576" t="s">
        <v>64</v>
      </c>
      <c r="G1576" t="s">
        <v>32</v>
      </c>
      <c r="H1576" t="s">
        <v>65</v>
      </c>
      <c r="I1576" t="s">
        <v>144</v>
      </c>
      <c r="J1576" t="s">
        <v>145</v>
      </c>
      <c r="K1576" t="s">
        <v>146</v>
      </c>
      <c r="L1576" t="s">
        <v>63</v>
      </c>
      <c r="M1576" s="1">
        <v>37869</v>
      </c>
      <c r="N1576">
        <v>2003</v>
      </c>
    </row>
    <row r="1577" spans="1:14">
      <c r="A1577" t="s">
        <v>14</v>
      </c>
      <c r="B1577" t="str">
        <f>"122205199400"</f>
        <v>122205199400</v>
      </c>
      <c r="C1577" t="s">
        <v>1004</v>
      </c>
      <c r="D1577" t="s">
        <v>1005</v>
      </c>
      <c r="G1577" t="s">
        <v>32</v>
      </c>
      <c r="H1577" t="s">
        <v>59</v>
      </c>
      <c r="I1577" t="s">
        <v>144</v>
      </c>
      <c r="J1577" t="s">
        <v>145</v>
      </c>
      <c r="K1577" t="s">
        <v>261</v>
      </c>
      <c r="L1577" t="s">
        <v>48</v>
      </c>
      <c r="M1577" s="1">
        <v>34476</v>
      </c>
      <c r="N1577">
        <v>1994</v>
      </c>
    </row>
    <row r="1578" spans="1:14">
      <c r="A1578" t="s">
        <v>14</v>
      </c>
      <c r="B1578" t="str">
        <f>"122502199700"</f>
        <v>122502199700</v>
      </c>
      <c r="C1578" t="s">
        <v>1594</v>
      </c>
      <c r="D1578" t="s">
        <v>64</v>
      </c>
      <c r="G1578" t="s">
        <v>32</v>
      </c>
      <c r="H1578" t="s">
        <v>59</v>
      </c>
      <c r="I1578" t="s">
        <v>144</v>
      </c>
      <c r="J1578" t="s">
        <v>145</v>
      </c>
      <c r="K1578" t="s">
        <v>146</v>
      </c>
      <c r="L1578" t="s">
        <v>63</v>
      </c>
      <c r="M1578" s="1">
        <v>35486</v>
      </c>
      <c r="N1578">
        <v>1997</v>
      </c>
    </row>
    <row r="1579" spans="1:14">
      <c r="A1579" t="s">
        <v>14</v>
      </c>
      <c r="B1579" t="str">
        <f>"120709199600"</f>
        <v>120709199600</v>
      </c>
      <c r="C1579" t="s">
        <v>2623</v>
      </c>
      <c r="D1579" t="s">
        <v>234</v>
      </c>
      <c r="G1579" t="s">
        <v>32</v>
      </c>
      <c r="H1579" t="s">
        <v>59</v>
      </c>
      <c r="I1579" t="s">
        <v>144</v>
      </c>
      <c r="J1579" t="s">
        <v>145</v>
      </c>
      <c r="K1579" t="s">
        <v>261</v>
      </c>
      <c r="L1579" t="s">
        <v>48</v>
      </c>
      <c r="M1579" s="1">
        <v>35315</v>
      </c>
      <c r="N1579">
        <v>1996</v>
      </c>
    </row>
    <row r="1580" spans="1:14">
      <c r="A1580" t="s">
        <v>14</v>
      </c>
      <c r="B1580" t="str">
        <f>"120504200000"</f>
        <v>120504200000</v>
      </c>
      <c r="C1580" t="s">
        <v>384</v>
      </c>
      <c r="D1580" t="s">
        <v>385</v>
      </c>
      <c r="G1580" t="s">
        <v>32</v>
      </c>
      <c r="H1580" t="s">
        <v>44</v>
      </c>
      <c r="I1580" t="s">
        <v>144</v>
      </c>
      <c r="J1580" t="s">
        <v>145</v>
      </c>
      <c r="K1580" t="s">
        <v>261</v>
      </c>
      <c r="L1580" t="s">
        <v>63</v>
      </c>
      <c r="M1580" s="1">
        <v>36621</v>
      </c>
      <c r="N1580">
        <v>2000</v>
      </c>
    </row>
    <row r="1581" spans="1:14">
      <c r="A1581" t="s">
        <v>14</v>
      </c>
      <c r="B1581" t="str">
        <f>"122105200100"</f>
        <v>122105200100</v>
      </c>
      <c r="C1581" t="s">
        <v>540</v>
      </c>
      <c r="D1581" t="s">
        <v>541</v>
      </c>
      <c r="G1581" t="s">
        <v>32</v>
      </c>
      <c r="H1581" t="s">
        <v>44</v>
      </c>
      <c r="I1581" t="s">
        <v>144</v>
      </c>
      <c r="J1581" t="s">
        <v>145</v>
      </c>
      <c r="K1581" t="s">
        <v>146</v>
      </c>
      <c r="L1581" t="s">
        <v>63</v>
      </c>
      <c r="M1581" s="1">
        <v>37032</v>
      </c>
      <c r="N1581">
        <v>2001</v>
      </c>
    </row>
    <row r="1582" spans="1:14">
      <c r="A1582" t="s">
        <v>14</v>
      </c>
      <c r="B1582" t="str">
        <f>"121411200100"</f>
        <v>121411200100</v>
      </c>
      <c r="C1582" t="s">
        <v>1692</v>
      </c>
      <c r="D1582" t="s">
        <v>1447</v>
      </c>
      <c r="G1582" t="s">
        <v>32</v>
      </c>
      <c r="H1582" t="s">
        <v>44</v>
      </c>
      <c r="I1582" t="s">
        <v>144</v>
      </c>
      <c r="J1582" t="s">
        <v>145</v>
      </c>
      <c r="K1582" t="s">
        <v>261</v>
      </c>
      <c r="L1582" t="s">
        <v>48</v>
      </c>
      <c r="M1582" s="1">
        <v>37209</v>
      </c>
      <c r="N1582">
        <v>2001</v>
      </c>
    </row>
    <row r="1583" spans="1:14">
      <c r="A1583" t="s">
        <v>14</v>
      </c>
      <c r="B1583" t="str">
        <f>"121912200000"</f>
        <v>121912200000</v>
      </c>
      <c r="C1583" t="s">
        <v>2120</v>
      </c>
      <c r="D1583" t="s">
        <v>178</v>
      </c>
      <c r="G1583" t="s">
        <v>32</v>
      </c>
      <c r="H1583" t="s">
        <v>44</v>
      </c>
      <c r="I1583" t="s">
        <v>144</v>
      </c>
      <c r="J1583" t="s">
        <v>145</v>
      </c>
      <c r="K1583" t="s">
        <v>261</v>
      </c>
      <c r="L1583" t="s">
        <v>63</v>
      </c>
      <c r="M1583" s="1">
        <v>36879</v>
      </c>
      <c r="N1583">
        <v>2000</v>
      </c>
    </row>
    <row r="1584" spans="1:14">
      <c r="A1584" t="s">
        <v>14</v>
      </c>
      <c r="B1584" t="str">
        <f>"121706200000"</f>
        <v>121706200000</v>
      </c>
      <c r="C1584" t="s">
        <v>2270</v>
      </c>
      <c r="D1584" t="s">
        <v>188</v>
      </c>
      <c r="G1584" t="s">
        <v>32</v>
      </c>
      <c r="H1584" t="s">
        <v>44</v>
      </c>
      <c r="I1584" t="s">
        <v>144</v>
      </c>
      <c r="J1584" t="s">
        <v>145</v>
      </c>
      <c r="K1584" t="s">
        <v>261</v>
      </c>
      <c r="L1584" t="s">
        <v>63</v>
      </c>
      <c r="M1584" s="1">
        <v>36694</v>
      </c>
      <c r="N1584">
        <v>2000</v>
      </c>
    </row>
    <row r="1585" spans="1:14">
      <c r="A1585" t="s">
        <v>14</v>
      </c>
      <c r="B1585" t="str">
        <f>"111405199600"</f>
        <v>111405199600</v>
      </c>
      <c r="C1585" t="s">
        <v>908</v>
      </c>
      <c r="D1585" t="s">
        <v>16</v>
      </c>
      <c r="G1585" t="s">
        <v>17</v>
      </c>
      <c r="H1585" t="s">
        <v>25</v>
      </c>
      <c r="I1585" t="s">
        <v>144</v>
      </c>
      <c r="J1585" t="s">
        <v>145</v>
      </c>
      <c r="K1585" t="s">
        <v>261</v>
      </c>
      <c r="L1585" t="s">
        <v>48</v>
      </c>
      <c r="M1585" s="1">
        <v>35199</v>
      </c>
      <c r="N1585">
        <v>1996</v>
      </c>
    </row>
    <row r="1586" spans="1:14">
      <c r="A1586" t="s">
        <v>14</v>
      </c>
      <c r="B1586" t="str">
        <f>"111802199700"</f>
        <v>111802199700</v>
      </c>
      <c r="C1586" t="s">
        <v>955</v>
      </c>
      <c r="D1586" t="s">
        <v>534</v>
      </c>
      <c r="G1586" t="s">
        <v>17</v>
      </c>
      <c r="H1586" t="s">
        <v>25</v>
      </c>
      <c r="I1586" t="s">
        <v>144</v>
      </c>
      <c r="J1586" t="s">
        <v>145</v>
      </c>
      <c r="K1586" t="s">
        <v>261</v>
      </c>
      <c r="L1586" t="s">
        <v>48</v>
      </c>
      <c r="M1586" s="1">
        <v>35479</v>
      </c>
      <c r="N1586">
        <v>1997</v>
      </c>
    </row>
    <row r="1587" spans="1:14">
      <c r="A1587" t="s">
        <v>14</v>
      </c>
      <c r="B1587" t="str">
        <f>"110603199601"</f>
        <v>110603199601</v>
      </c>
      <c r="C1587" t="s">
        <v>1638</v>
      </c>
      <c r="D1587" t="s">
        <v>387</v>
      </c>
      <c r="G1587" t="s">
        <v>17</v>
      </c>
      <c r="H1587" t="s">
        <v>25</v>
      </c>
      <c r="I1587" t="s">
        <v>144</v>
      </c>
      <c r="J1587" t="s">
        <v>145</v>
      </c>
      <c r="K1587" t="s">
        <v>261</v>
      </c>
      <c r="L1587" t="s">
        <v>48</v>
      </c>
      <c r="M1587" s="1">
        <v>35130</v>
      </c>
      <c r="N1587">
        <v>1996</v>
      </c>
    </row>
    <row r="1588" spans="1:14">
      <c r="A1588" t="s">
        <v>14</v>
      </c>
      <c r="B1588" t="str">
        <f>"111608199900"</f>
        <v>111608199900</v>
      </c>
      <c r="C1588" t="s">
        <v>430</v>
      </c>
      <c r="D1588" t="s">
        <v>431</v>
      </c>
      <c r="G1588" t="s">
        <v>17</v>
      </c>
      <c r="H1588" t="s">
        <v>18</v>
      </c>
      <c r="I1588" t="s">
        <v>144</v>
      </c>
      <c r="J1588" t="s">
        <v>145</v>
      </c>
      <c r="K1588" t="s">
        <v>261</v>
      </c>
      <c r="L1588" t="s">
        <v>63</v>
      </c>
      <c r="M1588" s="1">
        <v>36388</v>
      </c>
      <c r="N1588">
        <v>1999</v>
      </c>
    </row>
    <row r="1589" spans="1:14">
      <c r="A1589" t="s">
        <v>14</v>
      </c>
      <c r="B1589" t="str">
        <f>"111105200103"</f>
        <v>111105200103</v>
      </c>
      <c r="C1589" t="s">
        <v>438</v>
      </c>
      <c r="D1589" t="s">
        <v>155</v>
      </c>
      <c r="G1589" t="s">
        <v>17</v>
      </c>
      <c r="H1589" t="s">
        <v>18</v>
      </c>
      <c r="I1589" t="s">
        <v>144</v>
      </c>
      <c r="J1589" t="s">
        <v>145</v>
      </c>
      <c r="K1589" t="s">
        <v>261</v>
      </c>
      <c r="L1589" t="s">
        <v>22</v>
      </c>
      <c r="M1589" s="1">
        <v>37022</v>
      </c>
      <c r="N1589">
        <v>2001</v>
      </c>
    </row>
    <row r="1590" spans="1:14">
      <c r="A1590" t="s">
        <v>14</v>
      </c>
      <c r="B1590" t="str">
        <f>"111203200101"</f>
        <v>111203200101</v>
      </c>
      <c r="C1590" t="s">
        <v>1185</v>
      </c>
      <c r="D1590" t="s">
        <v>115</v>
      </c>
      <c r="G1590" t="s">
        <v>17</v>
      </c>
      <c r="H1590" t="s">
        <v>18</v>
      </c>
      <c r="I1590" t="s">
        <v>144</v>
      </c>
      <c r="J1590" t="s">
        <v>145</v>
      </c>
      <c r="K1590" t="s">
        <v>146</v>
      </c>
      <c r="L1590" t="s">
        <v>63</v>
      </c>
      <c r="M1590" s="1">
        <v>36962</v>
      </c>
      <c r="N1590">
        <v>2001</v>
      </c>
    </row>
    <row r="1591" spans="1:14">
      <c r="A1591" t="s">
        <v>14</v>
      </c>
      <c r="B1591" t="str">
        <f>"111807199901"</f>
        <v>111807199901</v>
      </c>
      <c r="C1591" t="s">
        <v>1319</v>
      </c>
      <c r="D1591" t="s">
        <v>1320</v>
      </c>
      <c r="G1591" t="s">
        <v>17</v>
      </c>
      <c r="H1591" t="s">
        <v>18</v>
      </c>
      <c r="I1591" t="s">
        <v>144</v>
      </c>
      <c r="J1591" t="s">
        <v>145</v>
      </c>
      <c r="K1591" t="s">
        <v>146</v>
      </c>
      <c r="L1591" t="s">
        <v>63</v>
      </c>
      <c r="M1591" s="1">
        <v>36359</v>
      </c>
      <c r="N1591">
        <v>1999</v>
      </c>
    </row>
    <row r="1592" spans="1:14">
      <c r="A1592" t="s">
        <v>14</v>
      </c>
      <c r="B1592" t="str">
        <f>"110209199900"</f>
        <v>110209199900</v>
      </c>
      <c r="C1592" t="s">
        <v>1550</v>
      </c>
      <c r="D1592" t="s">
        <v>129</v>
      </c>
      <c r="G1592" t="s">
        <v>17</v>
      </c>
      <c r="H1592" t="s">
        <v>18</v>
      </c>
      <c r="I1592" t="s">
        <v>144</v>
      </c>
      <c r="J1592" t="s">
        <v>145</v>
      </c>
      <c r="K1592" t="s">
        <v>261</v>
      </c>
      <c r="L1592" t="s">
        <v>22</v>
      </c>
      <c r="M1592" s="1">
        <v>36405</v>
      </c>
      <c r="N1592">
        <v>1999</v>
      </c>
    </row>
    <row r="1593" spans="1:14">
      <c r="A1593" t="s">
        <v>14</v>
      </c>
      <c r="B1593" t="str">
        <f>"113006200100"</f>
        <v>113006200100</v>
      </c>
      <c r="C1593" t="s">
        <v>1606</v>
      </c>
      <c r="D1593" t="s">
        <v>221</v>
      </c>
      <c r="G1593" t="s">
        <v>17</v>
      </c>
      <c r="H1593" t="s">
        <v>18</v>
      </c>
      <c r="I1593" t="s">
        <v>144</v>
      </c>
      <c r="J1593" t="s">
        <v>145</v>
      </c>
      <c r="K1593" t="s">
        <v>261</v>
      </c>
      <c r="L1593" t="s">
        <v>63</v>
      </c>
      <c r="M1593" s="1">
        <v>37072</v>
      </c>
      <c r="N1593">
        <v>2001</v>
      </c>
    </row>
    <row r="1594" spans="1:14">
      <c r="A1594" t="s">
        <v>14</v>
      </c>
      <c r="B1594" t="str">
        <f>"112505199900"</f>
        <v>112505199900</v>
      </c>
      <c r="C1594" t="s">
        <v>1654</v>
      </c>
      <c r="D1594" t="s">
        <v>129</v>
      </c>
      <c r="G1594" t="s">
        <v>17</v>
      </c>
      <c r="H1594" t="s">
        <v>18</v>
      </c>
      <c r="I1594" t="s">
        <v>144</v>
      </c>
      <c r="J1594" t="s">
        <v>145</v>
      </c>
      <c r="K1594" t="s">
        <v>261</v>
      </c>
      <c r="L1594" t="s">
        <v>63</v>
      </c>
      <c r="M1594" s="1">
        <v>36305</v>
      </c>
      <c r="N1594">
        <v>1999</v>
      </c>
    </row>
    <row r="1595" spans="1:14">
      <c r="A1595" t="s">
        <v>14</v>
      </c>
      <c r="B1595" t="str">
        <f>"110704200100"</f>
        <v>110704200100</v>
      </c>
      <c r="C1595" t="s">
        <v>1719</v>
      </c>
      <c r="D1595" t="s">
        <v>221</v>
      </c>
      <c r="G1595" t="s">
        <v>17</v>
      </c>
      <c r="H1595" t="s">
        <v>18</v>
      </c>
      <c r="I1595" t="s">
        <v>144</v>
      </c>
      <c r="J1595" t="s">
        <v>145</v>
      </c>
      <c r="K1595" t="s">
        <v>261</v>
      </c>
      <c r="L1595" t="s">
        <v>63</v>
      </c>
      <c r="M1595" s="1">
        <v>36988</v>
      </c>
      <c r="N1595">
        <v>2001</v>
      </c>
    </row>
    <row r="1596" spans="1:14">
      <c r="A1596" t="s">
        <v>14</v>
      </c>
      <c r="B1596" t="str">
        <f>"113011199900"</f>
        <v>113011199900</v>
      </c>
      <c r="C1596" t="s">
        <v>1881</v>
      </c>
      <c r="D1596" t="s">
        <v>100</v>
      </c>
      <c r="G1596" t="s">
        <v>17</v>
      </c>
      <c r="H1596" t="s">
        <v>18</v>
      </c>
      <c r="I1596" t="s">
        <v>144</v>
      </c>
      <c r="J1596" t="s">
        <v>145</v>
      </c>
      <c r="K1596" t="s">
        <v>261</v>
      </c>
      <c r="L1596" t="s">
        <v>63</v>
      </c>
      <c r="M1596" s="1">
        <v>36494</v>
      </c>
      <c r="N1596">
        <v>1999</v>
      </c>
    </row>
    <row r="1597" spans="1:14">
      <c r="A1597" t="s">
        <v>14</v>
      </c>
      <c r="B1597" t="str">
        <f>"112803200100"</f>
        <v>112803200100</v>
      </c>
      <c r="C1597" t="s">
        <v>1923</v>
      </c>
      <c r="D1597" t="s">
        <v>373</v>
      </c>
      <c r="G1597" t="s">
        <v>17</v>
      </c>
      <c r="H1597" t="s">
        <v>18</v>
      </c>
      <c r="I1597" t="s">
        <v>144</v>
      </c>
      <c r="J1597" t="s">
        <v>145</v>
      </c>
      <c r="K1597" t="s">
        <v>261</v>
      </c>
      <c r="L1597" t="s">
        <v>22</v>
      </c>
      <c r="M1597" s="1">
        <v>36978</v>
      </c>
      <c r="N1597">
        <v>2001</v>
      </c>
    </row>
    <row r="1598" spans="1:14">
      <c r="A1598" t="s">
        <v>14</v>
      </c>
      <c r="B1598" t="str">
        <f>"112504200000"</f>
        <v>112504200000</v>
      </c>
      <c r="C1598" t="s">
        <v>1964</v>
      </c>
      <c r="D1598" t="s">
        <v>886</v>
      </c>
      <c r="G1598" t="s">
        <v>17</v>
      </c>
      <c r="H1598" t="s">
        <v>18</v>
      </c>
      <c r="I1598" t="s">
        <v>144</v>
      </c>
      <c r="J1598" t="s">
        <v>145</v>
      </c>
      <c r="K1598" t="s">
        <v>261</v>
      </c>
      <c r="L1598" t="s">
        <v>22</v>
      </c>
      <c r="M1598" s="1">
        <v>36641</v>
      </c>
      <c r="N1598">
        <v>2000</v>
      </c>
    </row>
    <row r="1599" spans="1:14">
      <c r="A1599" t="s">
        <v>14</v>
      </c>
      <c r="B1599" t="str">
        <f>"112405200100"</f>
        <v>112405200100</v>
      </c>
      <c r="C1599" t="s">
        <v>2121</v>
      </c>
      <c r="D1599" t="s">
        <v>129</v>
      </c>
      <c r="G1599" t="s">
        <v>17</v>
      </c>
      <c r="H1599" t="s">
        <v>18</v>
      </c>
      <c r="I1599" t="s">
        <v>144</v>
      </c>
      <c r="J1599" t="s">
        <v>145</v>
      </c>
      <c r="K1599" t="s">
        <v>261</v>
      </c>
      <c r="L1599" t="s">
        <v>22</v>
      </c>
      <c r="M1599" s="1">
        <v>37035</v>
      </c>
      <c r="N1599">
        <v>2001</v>
      </c>
    </row>
    <row r="1600" spans="1:14">
      <c r="A1600" t="s">
        <v>14</v>
      </c>
      <c r="B1600" t="str">
        <f>"110401200100"</f>
        <v>110401200100</v>
      </c>
      <c r="C1600" t="s">
        <v>2164</v>
      </c>
      <c r="D1600" t="s">
        <v>534</v>
      </c>
      <c r="G1600" t="s">
        <v>17</v>
      </c>
      <c r="H1600" t="s">
        <v>18</v>
      </c>
      <c r="I1600" t="s">
        <v>144</v>
      </c>
      <c r="J1600" t="s">
        <v>145</v>
      </c>
      <c r="K1600" t="s">
        <v>261</v>
      </c>
      <c r="L1600" t="s">
        <v>22</v>
      </c>
      <c r="M1600" s="1">
        <v>36895</v>
      </c>
      <c r="N1600">
        <v>2001</v>
      </c>
    </row>
    <row r="1601" spans="1:14">
      <c r="A1601" t="s">
        <v>14</v>
      </c>
      <c r="B1601" t="str">
        <f>"111202199900"</f>
        <v>111202199900</v>
      </c>
      <c r="C1601" t="s">
        <v>2170</v>
      </c>
      <c r="D1601" t="s">
        <v>534</v>
      </c>
      <c r="G1601" t="s">
        <v>17</v>
      </c>
      <c r="H1601" t="s">
        <v>18</v>
      </c>
      <c r="I1601" t="s">
        <v>144</v>
      </c>
      <c r="J1601" t="s">
        <v>145</v>
      </c>
      <c r="K1601" t="s">
        <v>261</v>
      </c>
      <c r="L1601" t="s">
        <v>63</v>
      </c>
      <c r="M1601" s="1">
        <v>36203</v>
      </c>
      <c r="N1601">
        <v>1999</v>
      </c>
    </row>
    <row r="1602" spans="1:14">
      <c r="A1602" t="s">
        <v>14</v>
      </c>
      <c r="B1602" t="str">
        <f>"113007200100"</f>
        <v>113007200100</v>
      </c>
      <c r="C1602" t="s">
        <v>2170</v>
      </c>
      <c r="D1602" t="s">
        <v>16</v>
      </c>
      <c r="G1602" t="s">
        <v>17</v>
      </c>
      <c r="H1602" t="s">
        <v>18</v>
      </c>
      <c r="I1602" t="s">
        <v>144</v>
      </c>
      <c r="J1602" t="s">
        <v>145</v>
      </c>
      <c r="K1602" t="s">
        <v>261</v>
      </c>
      <c r="L1602" t="s">
        <v>63</v>
      </c>
      <c r="M1602" s="1">
        <v>37102</v>
      </c>
      <c r="N1602">
        <v>2001</v>
      </c>
    </row>
    <row r="1603" spans="1:14">
      <c r="A1603" t="s">
        <v>14</v>
      </c>
      <c r="B1603" t="str">
        <f>"111107200100"</f>
        <v>111107200100</v>
      </c>
      <c r="C1603" t="s">
        <v>2363</v>
      </c>
      <c r="D1603" t="s">
        <v>221</v>
      </c>
      <c r="G1603" t="s">
        <v>17</v>
      </c>
      <c r="H1603" t="s">
        <v>18</v>
      </c>
      <c r="I1603" t="s">
        <v>144</v>
      </c>
      <c r="J1603" t="s">
        <v>145</v>
      </c>
      <c r="K1603" t="s">
        <v>261</v>
      </c>
      <c r="L1603" t="s">
        <v>63</v>
      </c>
      <c r="M1603" s="1">
        <v>37083</v>
      </c>
      <c r="N1603">
        <v>2001</v>
      </c>
    </row>
    <row r="1604" spans="1:14">
      <c r="A1604" t="s">
        <v>14</v>
      </c>
      <c r="B1604" t="str">
        <f>"110201199900"</f>
        <v>110201199900</v>
      </c>
      <c r="C1604" t="s">
        <v>2579</v>
      </c>
      <c r="D1604" t="s">
        <v>617</v>
      </c>
      <c r="G1604" t="s">
        <v>17</v>
      </c>
      <c r="H1604" t="s">
        <v>18</v>
      </c>
      <c r="I1604" t="s">
        <v>144</v>
      </c>
      <c r="J1604" t="s">
        <v>145</v>
      </c>
      <c r="K1604" t="s">
        <v>261</v>
      </c>
      <c r="L1604" t="s">
        <v>63</v>
      </c>
      <c r="M1604" s="1">
        <v>36162</v>
      </c>
      <c r="N1604">
        <v>1999</v>
      </c>
    </row>
    <row r="1605" spans="1:14">
      <c r="A1605" t="s">
        <v>14</v>
      </c>
      <c r="B1605" t="str">
        <f>"110410200000"</f>
        <v>110410200000</v>
      </c>
      <c r="C1605" t="s">
        <v>2620</v>
      </c>
      <c r="D1605" t="s">
        <v>221</v>
      </c>
      <c r="G1605" t="s">
        <v>17</v>
      </c>
      <c r="H1605" t="s">
        <v>18</v>
      </c>
      <c r="I1605" t="s">
        <v>144</v>
      </c>
      <c r="J1605" t="s">
        <v>145</v>
      </c>
      <c r="K1605" t="s">
        <v>261</v>
      </c>
      <c r="L1605" t="s">
        <v>22</v>
      </c>
      <c r="M1605" s="1">
        <v>36803</v>
      </c>
      <c r="N1605">
        <v>2000</v>
      </c>
    </row>
    <row r="1606" spans="1:14">
      <c r="A1606" t="s">
        <v>14</v>
      </c>
      <c r="B1606" t="str">
        <f>"111906199900"</f>
        <v>111906199900</v>
      </c>
      <c r="C1606" t="s">
        <v>2620</v>
      </c>
      <c r="D1606" t="s">
        <v>100</v>
      </c>
      <c r="G1606" t="s">
        <v>17</v>
      </c>
      <c r="H1606" t="s">
        <v>18</v>
      </c>
      <c r="I1606" t="s">
        <v>144</v>
      </c>
      <c r="J1606" t="s">
        <v>145</v>
      </c>
      <c r="K1606" t="s">
        <v>261</v>
      </c>
      <c r="L1606" t="s">
        <v>63</v>
      </c>
      <c r="M1606" s="1">
        <v>36330</v>
      </c>
      <c r="N1606">
        <v>1999</v>
      </c>
    </row>
    <row r="1607" spans="1:14">
      <c r="A1607" t="s">
        <v>14</v>
      </c>
      <c r="B1607" t="str">
        <f>"112411200100"</f>
        <v>112411200100</v>
      </c>
      <c r="C1607" t="s">
        <v>2717</v>
      </c>
      <c r="D1607" t="s">
        <v>403</v>
      </c>
      <c r="G1607" t="s">
        <v>17</v>
      </c>
      <c r="H1607" t="s">
        <v>18</v>
      </c>
      <c r="I1607" t="s">
        <v>144</v>
      </c>
      <c r="J1607" t="s">
        <v>145</v>
      </c>
      <c r="K1607" t="s">
        <v>261</v>
      </c>
      <c r="L1607" t="s">
        <v>22</v>
      </c>
      <c r="M1607" s="1">
        <v>37219</v>
      </c>
      <c r="N1607">
        <v>2001</v>
      </c>
    </row>
    <row r="1608" spans="1:14">
      <c r="A1608" t="s">
        <v>14</v>
      </c>
      <c r="B1608" t="str">
        <f>"112208200000"</f>
        <v>112208200000</v>
      </c>
      <c r="C1608" t="s">
        <v>2775</v>
      </c>
      <c r="D1608" t="s">
        <v>24</v>
      </c>
      <c r="G1608" t="s">
        <v>17</v>
      </c>
      <c r="H1608" t="s">
        <v>18</v>
      </c>
      <c r="I1608" t="s">
        <v>144</v>
      </c>
      <c r="J1608" t="s">
        <v>145</v>
      </c>
      <c r="K1608" t="s">
        <v>261</v>
      </c>
      <c r="L1608" t="s">
        <v>63</v>
      </c>
      <c r="M1608" s="1">
        <v>36760</v>
      </c>
      <c r="N1608">
        <v>2000</v>
      </c>
    </row>
    <row r="1609" spans="1:14">
      <c r="A1609" t="s">
        <v>14</v>
      </c>
      <c r="B1609" t="str">
        <f>"110607200004"</f>
        <v>110607200004</v>
      </c>
      <c r="C1609" t="s">
        <v>2859</v>
      </c>
      <c r="D1609" t="s">
        <v>100</v>
      </c>
      <c r="G1609" t="s">
        <v>17</v>
      </c>
      <c r="H1609" t="s">
        <v>18</v>
      </c>
      <c r="I1609" t="s">
        <v>144</v>
      </c>
      <c r="J1609" t="s">
        <v>145</v>
      </c>
      <c r="K1609" t="s">
        <v>261</v>
      </c>
      <c r="M1609" s="1">
        <v>36713</v>
      </c>
      <c r="N1609">
        <v>2000</v>
      </c>
    </row>
    <row r="1610" spans="1:14">
      <c r="A1610" t="s">
        <v>14</v>
      </c>
      <c r="B1610" t="str">
        <f>"112911200400"</f>
        <v>112911200400</v>
      </c>
      <c r="C1610" t="s">
        <v>1179</v>
      </c>
      <c r="D1610" t="s">
        <v>403</v>
      </c>
      <c r="G1610" t="s">
        <v>17</v>
      </c>
      <c r="H1610" t="s">
        <v>39</v>
      </c>
      <c r="I1610" t="s">
        <v>144</v>
      </c>
      <c r="J1610" t="s">
        <v>145</v>
      </c>
      <c r="K1610" t="s">
        <v>261</v>
      </c>
      <c r="M1610" s="1">
        <v>38320</v>
      </c>
      <c r="N1610">
        <v>2004</v>
      </c>
    </row>
    <row r="1611" spans="1:14">
      <c r="A1611" t="s">
        <v>14</v>
      </c>
      <c r="B1611" t="str">
        <f>"111512200400"</f>
        <v>111512200400</v>
      </c>
      <c r="C1611" t="s">
        <v>1831</v>
      </c>
      <c r="D1611" t="s">
        <v>38</v>
      </c>
      <c r="G1611" t="s">
        <v>17</v>
      </c>
      <c r="H1611" t="s">
        <v>39</v>
      </c>
      <c r="I1611" t="s">
        <v>144</v>
      </c>
      <c r="J1611" t="s">
        <v>145</v>
      </c>
      <c r="K1611" t="s">
        <v>261</v>
      </c>
      <c r="M1611" s="1">
        <v>38336</v>
      </c>
      <c r="N1611">
        <v>2004</v>
      </c>
    </row>
    <row r="1612" spans="1:14">
      <c r="A1612" t="s">
        <v>14</v>
      </c>
      <c r="B1612" t="str">
        <f>"110207200400"</f>
        <v>110207200400</v>
      </c>
      <c r="C1612" t="s">
        <v>2315</v>
      </c>
      <c r="D1612" t="s">
        <v>221</v>
      </c>
      <c r="G1612" t="s">
        <v>17</v>
      </c>
      <c r="H1612" t="s">
        <v>39</v>
      </c>
      <c r="I1612" t="s">
        <v>144</v>
      </c>
      <c r="J1612" t="s">
        <v>145</v>
      </c>
      <c r="K1612" t="s">
        <v>261</v>
      </c>
      <c r="M1612" s="1">
        <v>38170</v>
      </c>
      <c r="N1612">
        <v>2004</v>
      </c>
    </row>
    <row r="1613" spans="1:14">
      <c r="A1613" t="s">
        <v>14</v>
      </c>
      <c r="B1613" t="str">
        <f>"111302200401"</f>
        <v>111302200401</v>
      </c>
      <c r="C1613" t="s">
        <v>2358</v>
      </c>
      <c r="D1613" t="s">
        <v>16</v>
      </c>
      <c r="G1613" t="s">
        <v>17</v>
      </c>
      <c r="H1613" t="s">
        <v>39</v>
      </c>
      <c r="I1613" t="s">
        <v>144</v>
      </c>
      <c r="J1613" t="s">
        <v>145</v>
      </c>
      <c r="K1613" t="s">
        <v>261</v>
      </c>
      <c r="M1613" s="1">
        <v>38030</v>
      </c>
      <c r="N1613">
        <v>2004</v>
      </c>
    </row>
    <row r="1614" spans="1:14">
      <c r="A1614" t="s">
        <v>14</v>
      </c>
      <c r="B1614" t="str">
        <f>"110205200401"</f>
        <v>110205200401</v>
      </c>
      <c r="C1614" t="s">
        <v>2541</v>
      </c>
      <c r="D1614" t="s">
        <v>24</v>
      </c>
      <c r="G1614" t="s">
        <v>17</v>
      </c>
      <c r="H1614" t="s">
        <v>39</v>
      </c>
      <c r="I1614" t="s">
        <v>144</v>
      </c>
      <c r="J1614" t="s">
        <v>145</v>
      </c>
      <c r="K1614" t="s">
        <v>146</v>
      </c>
      <c r="L1614" t="s">
        <v>22</v>
      </c>
      <c r="M1614" s="1">
        <v>38109</v>
      </c>
      <c r="N1614">
        <v>2004</v>
      </c>
    </row>
    <row r="1615" spans="1:14">
      <c r="A1615" t="s">
        <v>14</v>
      </c>
      <c r="B1615" t="str">
        <f>"110708200400"</f>
        <v>110708200400</v>
      </c>
      <c r="C1615" t="s">
        <v>2915</v>
      </c>
      <c r="D1615" t="s">
        <v>782</v>
      </c>
      <c r="G1615" t="s">
        <v>17</v>
      </c>
      <c r="H1615" t="s">
        <v>39</v>
      </c>
      <c r="I1615" t="s">
        <v>144</v>
      </c>
      <c r="J1615" t="s">
        <v>145</v>
      </c>
      <c r="K1615" t="s">
        <v>261</v>
      </c>
      <c r="M1615" s="1">
        <v>38206</v>
      </c>
      <c r="N1615">
        <v>2004</v>
      </c>
    </row>
    <row r="1616" spans="1:14">
      <c r="A1616" t="s">
        <v>14</v>
      </c>
      <c r="B1616" t="str">
        <f>"110903200300"</f>
        <v>110903200300</v>
      </c>
      <c r="C1616" t="s">
        <v>438</v>
      </c>
      <c r="D1616" t="s">
        <v>259</v>
      </c>
      <c r="G1616" t="s">
        <v>17</v>
      </c>
      <c r="H1616" t="s">
        <v>51</v>
      </c>
      <c r="I1616" t="s">
        <v>144</v>
      </c>
      <c r="J1616" t="s">
        <v>145</v>
      </c>
      <c r="K1616" t="s">
        <v>261</v>
      </c>
      <c r="L1616" t="s">
        <v>22</v>
      </c>
      <c r="M1616" s="1">
        <v>37689</v>
      </c>
      <c r="N1616">
        <v>2003</v>
      </c>
    </row>
    <row r="1617" spans="1:14">
      <c r="A1617" t="s">
        <v>14</v>
      </c>
      <c r="B1617" t="str">
        <f>"111802200300"</f>
        <v>111802200300</v>
      </c>
      <c r="C1617" t="s">
        <v>1449</v>
      </c>
      <c r="D1617" t="s">
        <v>256</v>
      </c>
      <c r="G1617" t="s">
        <v>17</v>
      </c>
      <c r="H1617" t="s">
        <v>51</v>
      </c>
      <c r="I1617" t="s">
        <v>144</v>
      </c>
      <c r="J1617" t="s">
        <v>145</v>
      </c>
      <c r="K1617" t="s">
        <v>146</v>
      </c>
      <c r="L1617" t="s">
        <v>63</v>
      </c>
      <c r="M1617" s="1">
        <v>37670</v>
      </c>
      <c r="N1617">
        <v>2003</v>
      </c>
    </row>
    <row r="1618" spans="1:14">
      <c r="A1618" t="s">
        <v>14</v>
      </c>
      <c r="B1618" t="str">
        <f>"111906200200"</f>
        <v>111906200200</v>
      </c>
      <c r="C1618" t="s">
        <v>1981</v>
      </c>
      <c r="D1618" t="s">
        <v>1982</v>
      </c>
      <c r="G1618" t="s">
        <v>17</v>
      </c>
      <c r="H1618" t="s">
        <v>51</v>
      </c>
      <c r="I1618" t="s">
        <v>144</v>
      </c>
      <c r="J1618" t="s">
        <v>145</v>
      </c>
      <c r="K1618" t="s">
        <v>261</v>
      </c>
      <c r="L1618" t="s">
        <v>22</v>
      </c>
      <c r="M1618" s="1">
        <v>37426</v>
      </c>
      <c r="N1618">
        <v>2002</v>
      </c>
    </row>
    <row r="1619" spans="1:14">
      <c r="A1619" t="s">
        <v>14</v>
      </c>
      <c r="B1619" t="str">
        <f>"112302200300"</f>
        <v>112302200300</v>
      </c>
      <c r="C1619" t="s">
        <v>1989</v>
      </c>
      <c r="D1619" t="s">
        <v>89</v>
      </c>
      <c r="G1619" t="s">
        <v>17</v>
      </c>
      <c r="H1619" t="s">
        <v>51</v>
      </c>
      <c r="I1619" t="s">
        <v>144</v>
      </c>
      <c r="J1619" t="s">
        <v>145</v>
      </c>
      <c r="K1619" t="s">
        <v>261</v>
      </c>
      <c r="L1619" t="s">
        <v>22</v>
      </c>
      <c r="M1619" s="1">
        <v>37675</v>
      </c>
      <c r="N1619">
        <v>2003</v>
      </c>
    </row>
    <row r="1620" spans="1:14">
      <c r="A1620" t="s">
        <v>14</v>
      </c>
      <c r="B1620" t="str">
        <f>"111204200300"</f>
        <v>111204200300</v>
      </c>
      <c r="C1620" t="s">
        <v>2103</v>
      </c>
      <c r="D1620" t="s">
        <v>221</v>
      </c>
      <c r="G1620" t="s">
        <v>17</v>
      </c>
      <c r="H1620" t="s">
        <v>51</v>
      </c>
      <c r="I1620" t="s">
        <v>144</v>
      </c>
      <c r="J1620" t="s">
        <v>145</v>
      </c>
      <c r="K1620" t="s">
        <v>146</v>
      </c>
      <c r="L1620" t="s">
        <v>63</v>
      </c>
      <c r="M1620" s="1">
        <v>37723</v>
      </c>
      <c r="N1620">
        <v>2003</v>
      </c>
    </row>
    <row r="1621" spans="1:14">
      <c r="A1621" t="s">
        <v>14</v>
      </c>
      <c r="B1621" t="str">
        <f>"110101200200"</f>
        <v>110101200200</v>
      </c>
      <c r="C1621" t="s">
        <v>2206</v>
      </c>
      <c r="D1621" t="s">
        <v>782</v>
      </c>
      <c r="G1621" t="s">
        <v>17</v>
      </c>
      <c r="H1621" t="s">
        <v>51</v>
      </c>
      <c r="I1621" t="s">
        <v>144</v>
      </c>
      <c r="J1621" t="s">
        <v>145</v>
      </c>
      <c r="K1621" t="s">
        <v>261</v>
      </c>
      <c r="L1621" t="s">
        <v>22</v>
      </c>
      <c r="M1621" s="1">
        <v>37257</v>
      </c>
      <c r="N1621">
        <v>2002</v>
      </c>
    </row>
    <row r="1622" spans="1:14">
      <c r="A1622" t="s">
        <v>14</v>
      </c>
      <c r="B1622" t="str">
        <f>"111907200202"</f>
        <v>111907200202</v>
      </c>
      <c r="C1622" t="s">
        <v>2493</v>
      </c>
      <c r="D1622" t="s">
        <v>50</v>
      </c>
      <c r="G1622" t="s">
        <v>17</v>
      </c>
      <c r="H1622" t="s">
        <v>51</v>
      </c>
      <c r="I1622" t="s">
        <v>144</v>
      </c>
      <c r="J1622" t="s">
        <v>145</v>
      </c>
      <c r="K1622" t="s">
        <v>261</v>
      </c>
      <c r="L1622" t="s">
        <v>22</v>
      </c>
      <c r="M1622" s="1">
        <v>37456</v>
      </c>
      <c r="N1622">
        <v>2002</v>
      </c>
    </row>
    <row r="1623" spans="1:14">
      <c r="A1623" t="s">
        <v>14</v>
      </c>
      <c r="B1623" t="str">
        <f>"113103200300"</f>
        <v>113103200300</v>
      </c>
      <c r="C1623" t="s">
        <v>2654</v>
      </c>
      <c r="D1623" t="s">
        <v>70</v>
      </c>
      <c r="G1623" t="s">
        <v>17</v>
      </c>
      <c r="H1623" t="s">
        <v>51</v>
      </c>
      <c r="I1623" t="s">
        <v>144</v>
      </c>
      <c r="J1623" t="s">
        <v>145</v>
      </c>
      <c r="K1623" t="s">
        <v>261</v>
      </c>
      <c r="L1623" t="s">
        <v>63</v>
      </c>
      <c r="M1623" s="1">
        <v>37711</v>
      </c>
      <c r="N1623">
        <v>2003</v>
      </c>
    </row>
    <row r="1624" spans="1:14">
      <c r="A1624" t="s">
        <v>14</v>
      </c>
      <c r="B1624" t="str">
        <f>"112001200200"</f>
        <v>112001200200</v>
      </c>
      <c r="C1624" t="s">
        <v>2865</v>
      </c>
      <c r="D1624" t="s">
        <v>782</v>
      </c>
      <c r="G1624" t="s">
        <v>17</v>
      </c>
      <c r="H1624" t="s">
        <v>51</v>
      </c>
      <c r="I1624" t="s">
        <v>144</v>
      </c>
      <c r="J1624" t="s">
        <v>145</v>
      </c>
      <c r="K1624" t="s">
        <v>261</v>
      </c>
      <c r="L1624" t="s">
        <v>63</v>
      </c>
      <c r="M1624" s="1">
        <v>37276</v>
      </c>
      <c r="N1624">
        <v>2002</v>
      </c>
    </row>
    <row r="1625" spans="1:14">
      <c r="A1625" t="s">
        <v>14</v>
      </c>
      <c r="B1625" t="str">
        <f>"111504199802"</f>
        <v>111504199802</v>
      </c>
      <c r="C1625" t="s">
        <v>257</v>
      </c>
      <c r="D1625" t="s">
        <v>259</v>
      </c>
      <c r="G1625" t="s">
        <v>17</v>
      </c>
      <c r="H1625" t="s">
        <v>25</v>
      </c>
      <c r="I1625" t="s">
        <v>260</v>
      </c>
      <c r="J1625" t="s">
        <v>145</v>
      </c>
      <c r="K1625" t="s">
        <v>261</v>
      </c>
      <c r="L1625" t="s">
        <v>48</v>
      </c>
      <c r="M1625" s="1">
        <v>35900</v>
      </c>
      <c r="N1625">
        <v>1998</v>
      </c>
    </row>
    <row r="1626" spans="1:14">
      <c r="A1626" t="s">
        <v>14</v>
      </c>
      <c r="B1626" t="str">
        <f>"122206199900"</f>
        <v>122206199900</v>
      </c>
      <c r="C1626" t="s">
        <v>2144</v>
      </c>
      <c r="D1626" t="s">
        <v>203</v>
      </c>
      <c r="G1626" t="s">
        <v>32</v>
      </c>
      <c r="H1626" t="s">
        <v>44</v>
      </c>
      <c r="I1626" t="s">
        <v>2145</v>
      </c>
      <c r="J1626" t="s">
        <v>145</v>
      </c>
      <c r="K1626" t="s">
        <v>2146</v>
      </c>
      <c r="L1626" t="s">
        <v>48</v>
      </c>
      <c r="M1626" s="1">
        <v>36333</v>
      </c>
      <c r="N1626">
        <v>1999</v>
      </c>
    </row>
    <row r="1627" spans="1:14">
      <c r="A1627" t="s">
        <v>14</v>
      </c>
      <c r="B1627" t="str">
        <f>"122606199800"</f>
        <v>122606199800</v>
      </c>
      <c r="C1627" t="s">
        <v>2680</v>
      </c>
      <c r="D1627" t="s">
        <v>127</v>
      </c>
      <c r="G1627" t="s">
        <v>32</v>
      </c>
      <c r="H1627" t="s">
        <v>59</v>
      </c>
      <c r="I1627" t="s">
        <v>1543</v>
      </c>
      <c r="J1627" t="s">
        <v>145</v>
      </c>
      <c r="K1627" t="s">
        <v>2681</v>
      </c>
      <c r="L1627" t="s">
        <v>48</v>
      </c>
      <c r="M1627" s="1">
        <v>35972</v>
      </c>
      <c r="N1627">
        <v>1998</v>
      </c>
    </row>
    <row r="1628" spans="1:14">
      <c r="A1628" t="s">
        <v>14</v>
      </c>
      <c r="B1628" t="str">
        <f>"122712200000"</f>
        <v>122712200000</v>
      </c>
      <c r="C1628" t="s">
        <v>1542</v>
      </c>
      <c r="D1628" t="s">
        <v>263</v>
      </c>
      <c r="G1628" t="s">
        <v>32</v>
      </c>
      <c r="H1628" t="s">
        <v>44</v>
      </c>
      <c r="I1628" t="s">
        <v>1543</v>
      </c>
      <c r="J1628" t="s">
        <v>145</v>
      </c>
      <c r="K1628" t="s">
        <v>146</v>
      </c>
      <c r="L1628" t="s">
        <v>48</v>
      </c>
      <c r="M1628" s="1">
        <v>36887</v>
      </c>
      <c r="N1628">
        <v>2000</v>
      </c>
    </row>
    <row r="1629" spans="1:14">
      <c r="A1629" t="s">
        <v>14</v>
      </c>
      <c r="B1629" t="str">
        <f>"120209200401"</f>
        <v>120209200401</v>
      </c>
      <c r="C1629" t="s">
        <v>111</v>
      </c>
      <c r="D1629" t="s">
        <v>58</v>
      </c>
      <c r="G1629" t="s">
        <v>32</v>
      </c>
      <c r="H1629" t="s">
        <v>33</v>
      </c>
      <c r="I1629" t="s">
        <v>81</v>
      </c>
      <c r="J1629" t="s">
        <v>82</v>
      </c>
      <c r="K1629" t="s">
        <v>83</v>
      </c>
      <c r="L1629" t="s">
        <v>22</v>
      </c>
      <c r="M1629" s="1">
        <v>38232</v>
      </c>
      <c r="N1629">
        <v>2004</v>
      </c>
    </row>
    <row r="1630" spans="1:14">
      <c r="A1630" t="s">
        <v>14</v>
      </c>
      <c r="B1630" t="str">
        <f>"122402200400"</f>
        <v>122402200400</v>
      </c>
      <c r="C1630" t="s">
        <v>679</v>
      </c>
      <c r="D1630" t="s">
        <v>680</v>
      </c>
      <c r="G1630" t="s">
        <v>32</v>
      </c>
      <c r="H1630" t="s">
        <v>33</v>
      </c>
      <c r="I1630" t="s">
        <v>81</v>
      </c>
      <c r="J1630" t="s">
        <v>82</v>
      </c>
      <c r="K1630" t="s">
        <v>83</v>
      </c>
      <c r="L1630" t="s">
        <v>22</v>
      </c>
      <c r="M1630" s="1">
        <v>38041</v>
      </c>
      <c r="N1630">
        <v>2004</v>
      </c>
    </row>
    <row r="1631" spans="1:14">
      <c r="A1631" t="s">
        <v>14</v>
      </c>
      <c r="B1631" t="str">
        <f>"120908200500"</f>
        <v>120908200500</v>
      </c>
      <c r="C1631" t="s">
        <v>1208</v>
      </c>
      <c r="D1631" t="s">
        <v>1209</v>
      </c>
      <c r="G1631" t="s">
        <v>32</v>
      </c>
      <c r="H1631" t="s">
        <v>33</v>
      </c>
      <c r="I1631" t="s">
        <v>81</v>
      </c>
      <c r="J1631" t="s">
        <v>82</v>
      </c>
      <c r="K1631" t="s">
        <v>83</v>
      </c>
      <c r="L1631" t="s">
        <v>22</v>
      </c>
      <c r="M1631" s="1">
        <v>38573</v>
      </c>
      <c r="N1631">
        <v>2005</v>
      </c>
    </row>
    <row r="1632" spans="1:14">
      <c r="A1632" t="s">
        <v>14</v>
      </c>
      <c r="B1632" t="str">
        <f>"120308200400"</f>
        <v>120308200400</v>
      </c>
      <c r="C1632" t="s">
        <v>1643</v>
      </c>
      <c r="D1632" t="s">
        <v>143</v>
      </c>
      <c r="G1632" t="s">
        <v>32</v>
      </c>
      <c r="H1632" t="s">
        <v>33</v>
      </c>
      <c r="I1632" t="s">
        <v>81</v>
      </c>
      <c r="J1632" t="s">
        <v>82</v>
      </c>
      <c r="K1632" t="s">
        <v>83</v>
      </c>
      <c r="L1632" t="s">
        <v>22</v>
      </c>
      <c r="M1632" s="1">
        <v>38202</v>
      </c>
      <c r="N1632">
        <v>2004</v>
      </c>
    </row>
    <row r="1633" spans="1:14">
      <c r="A1633" t="s">
        <v>14</v>
      </c>
      <c r="B1633" t="str">
        <f>"120412200400"</f>
        <v>120412200400</v>
      </c>
      <c r="C1633" t="s">
        <v>2116</v>
      </c>
      <c r="D1633" t="s">
        <v>1958</v>
      </c>
      <c r="G1633" t="s">
        <v>32</v>
      </c>
      <c r="H1633" t="s">
        <v>33</v>
      </c>
      <c r="I1633" t="s">
        <v>81</v>
      </c>
      <c r="J1633" t="s">
        <v>82</v>
      </c>
      <c r="K1633" t="s">
        <v>83</v>
      </c>
      <c r="L1633" t="s">
        <v>22</v>
      </c>
      <c r="M1633" s="1">
        <v>38325</v>
      </c>
      <c r="N1633">
        <v>2004</v>
      </c>
    </row>
    <row r="1634" spans="1:14">
      <c r="A1634" t="s">
        <v>14</v>
      </c>
      <c r="B1634" t="str">
        <f>"121603200400"</f>
        <v>121603200400</v>
      </c>
      <c r="C1634" t="s">
        <v>2450</v>
      </c>
      <c r="D1634" t="s">
        <v>205</v>
      </c>
      <c r="G1634" t="s">
        <v>32</v>
      </c>
      <c r="H1634" t="s">
        <v>33</v>
      </c>
      <c r="I1634" t="s">
        <v>81</v>
      </c>
      <c r="J1634" t="s">
        <v>82</v>
      </c>
      <c r="K1634" t="s">
        <v>83</v>
      </c>
      <c r="L1634" t="s">
        <v>22</v>
      </c>
      <c r="M1634" s="1">
        <v>38062</v>
      </c>
      <c r="N1634">
        <v>2004</v>
      </c>
    </row>
    <row r="1635" spans="1:14">
      <c r="A1635" t="s">
        <v>14</v>
      </c>
      <c r="B1635" t="str">
        <f>"121010200200"</f>
        <v>121010200200</v>
      </c>
      <c r="C1635" t="s">
        <v>231</v>
      </c>
      <c r="D1635" t="s">
        <v>233</v>
      </c>
      <c r="G1635" t="s">
        <v>32</v>
      </c>
      <c r="H1635" t="s">
        <v>65</v>
      </c>
      <c r="I1635" t="s">
        <v>81</v>
      </c>
      <c r="J1635" t="s">
        <v>82</v>
      </c>
      <c r="K1635" t="s">
        <v>83</v>
      </c>
      <c r="L1635" t="s">
        <v>22</v>
      </c>
      <c r="M1635" s="1">
        <v>37539</v>
      </c>
      <c r="N1635">
        <v>2002</v>
      </c>
    </row>
    <row r="1636" spans="1:14">
      <c r="A1636" t="s">
        <v>14</v>
      </c>
      <c r="B1636" t="str">
        <f>"120306200302"</f>
        <v>120306200302</v>
      </c>
      <c r="C1636" t="s">
        <v>828</v>
      </c>
      <c r="D1636" t="s">
        <v>421</v>
      </c>
      <c r="G1636" t="s">
        <v>32</v>
      </c>
      <c r="H1636" t="s">
        <v>65</v>
      </c>
      <c r="I1636" t="s">
        <v>81</v>
      </c>
      <c r="J1636" t="s">
        <v>82</v>
      </c>
      <c r="K1636" t="s">
        <v>83</v>
      </c>
      <c r="L1636" t="s">
        <v>22</v>
      </c>
      <c r="M1636" s="1">
        <v>37775</v>
      </c>
      <c r="N1636">
        <v>2003</v>
      </c>
    </row>
    <row r="1637" spans="1:14">
      <c r="A1637" t="s">
        <v>14</v>
      </c>
      <c r="B1637" t="str">
        <f>"121107200200"</f>
        <v>121107200200</v>
      </c>
      <c r="C1637" t="s">
        <v>1585</v>
      </c>
      <c r="D1637" t="s">
        <v>58</v>
      </c>
      <c r="G1637" t="s">
        <v>32</v>
      </c>
      <c r="H1637" t="s">
        <v>65</v>
      </c>
      <c r="I1637" t="s">
        <v>81</v>
      </c>
      <c r="J1637" t="s">
        <v>82</v>
      </c>
      <c r="K1637" t="s">
        <v>83</v>
      </c>
      <c r="M1637" s="1">
        <v>37448</v>
      </c>
      <c r="N1637">
        <v>2002</v>
      </c>
    </row>
    <row r="1638" spans="1:14">
      <c r="A1638" t="s">
        <v>14</v>
      </c>
      <c r="B1638" t="str">
        <f>"121108200200"</f>
        <v>121108200200</v>
      </c>
      <c r="C1638" t="s">
        <v>2060</v>
      </c>
      <c r="D1638" t="s">
        <v>2061</v>
      </c>
      <c r="G1638" t="s">
        <v>32</v>
      </c>
      <c r="H1638" t="s">
        <v>65</v>
      </c>
      <c r="I1638" t="s">
        <v>81</v>
      </c>
      <c r="J1638" t="s">
        <v>82</v>
      </c>
      <c r="K1638" t="s">
        <v>83</v>
      </c>
      <c r="L1638" t="s">
        <v>22</v>
      </c>
      <c r="M1638" s="1">
        <v>37479</v>
      </c>
      <c r="N1638">
        <v>2002</v>
      </c>
    </row>
    <row r="1639" spans="1:14">
      <c r="A1639" t="s">
        <v>14</v>
      </c>
      <c r="B1639" t="str">
        <f>"121705200300"</f>
        <v>121705200300</v>
      </c>
      <c r="C1639" t="s">
        <v>2670</v>
      </c>
      <c r="D1639" t="s">
        <v>2671</v>
      </c>
      <c r="G1639" t="s">
        <v>32</v>
      </c>
      <c r="H1639" t="s">
        <v>65</v>
      </c>
      <c r="I1639" t="s">
        <v>81</v>
      </c>
      <c r="J1639" t="s">
        <v>82</v>
      </c>
      <c r="K1639" t="s">
        <v>83</v>
      </c>
      <c r="L1639" t="s">
        <v>22</v>
      </c>
      <c r="M1639" s="1">
        <v>37758</v>
      </c>
      <c r="N1639">
        <v>2003</v>
      </c>
    </row>
    <row r="1640" spans="1:14">
      <c r="A1640" t="s">
        <v>14</v>
      </c>
      <c r="B1640" t="str">
        <f>"111406199800"</f>
        <v>111406199800</v>
      </c>
      <c r="C1640" t="s">
        <v>2789</v>
      </c>
      <c r="D1640" t="s">
        <v>534</v>
      </c>
      <c r="G1640" t="s">
        <v>17</v>
      </c>
      <c r="H1640" t="s">
        <v>25</v>
      </c>
      <c r="I1640" t="s">
        <v>81</v>
      </c>
      <c r="J1640" t="s">
        <v>82</v>
      </c>
      <c r="K1640" t="s">
        <v>83</v>
      </c>
      <c r="L1640" t="s">
        <v>48</v>
      </c>
      <c r="M1640" s="1">
        <v>35960</v>
      </c>
      <c r="N1640">
        <v>1998</v>
      </c>
    </row>
    <row r="1641" spans="1:14">
      <c r="A1641" t="s">
        <v>14</v>
      </c>
      <c r="B1641" t="str">
        <f>"112405200000"</f>
        <v>112405200000</v>
      </c>
      <c r="C1641" t="s">
        <v>1931</v>
      </c>
      <c r="D1641" t="s">
        <v>209</v>
      </c>
      <c r="G1641" t="s">
        <v>17</v>
      </c>
      <c r="H1641" t="s">
        <v>18</v>
      </c>
      <c r="I1641" t="s">
        <v>81</v>
      </c>
      <c r="J1641" t="s">
        <v>82</v>
      </c>
      <c r="K1641" t="s">
        <v>83</v>
      </c>
      <c r="L1641" t="s">
        <v>22</v>
      </c>
      <c r="M1641" s="1">
        <v>36670</v>
      </c>
      <c r="N1641">
        <v>2000</v>
      </c>
    </row>
    <row r="1642" spans="1:14">
      <c r="A1642" t="s">
        <v>14</v>
      </c>
      <c r="B1642" t="str">
        <f>"110202199900"</f>
        <v>110202199900</v>
      </c>
      <c r="C1642" t="s">
        <v>2852</v>
      </c>
      <c r="D1642" t="s">
        <v>129</v>
      </c>
      <c r="G1642" t="s">
        <v>17</v>
      </c>
      <c r="H1642" t="s">
        <v>18</v>
      </c>
      <c r="I1642" t="s">
        <v>81</v>
      </c>
      <c r="J1642" t="s">
        <v>82</v>
      </c>
      <c r="K1642" t="s">
        <v>83</v>
      </c>
      <c r="L1642" t="s">
        <v>22</v>
      </c>
      <c r="M1642" s="1">
        <v>36193</v>
      </c>
      <c r="N1642">
        <v>1999</v>
      </c>
    </row>
    <row r="1643" spans="1:14">
      <c r="A1643" t="s">
        <v>14</v>
      </c>
      <c r="B1643" t="str">
        <f>"110804200400"</f>
        <v>110804200400</v>
      </c>
      <c r="C1643" t="s">
        <v>1730</v>
      </c>
      <c r="D1643" t="s">
        <v>1731</v>
      </c>
      <c r="G1643" t="s">
        <v>17</v>
      </c>
      <c r="H1643" t="s">
        <v>39</v>
      </c>
      <c r="I1643" t="s">
        <v>81</v>
      </c>
      <c r="J1643" t="s">
        <v>82</v>
      </c>
      <c r="K1643" t="s">
        <v>83</v>
      </c>
      <c r="L1643" t="s">
        <v>22</v>
      </c>
      <c r="M1643" s="1">
        <v>38085</v>
      </c>
      <c r="N1643">
        <v>2004</v>
      </c>
    </row>
    <row r="1644" spans="1:14">
      <c r="A1644" t="s">
        <v>14</v>
      </c>
      <c r="B1644" t="str">
        <f>"112702200400"</f>
        <v>112702200400</v>
      </c>
      <c r="C1644" t="s">
        <v>2200</v>
      </c>
      <c r="D1644" t="s">
        <v>209</v>
      </c>
      <c r="G1644" t="s">
        <v>17</v>
      </c>
      <c r="H1644" t="s">
        <v>39</v>
      </c>
      <c r="I1644" t="s">
        <v>81</v>
      </c>
      <c r="J1644" t="s">
        <v>82</v>
      </c>
      <c r="K1644" t="s">
        <v>83</v>
      </c>
      <c r="L1644" t="s">
        <v>22</v>
      </c>
      <c r="M1644" s="1">
        <v>38044</v>
      </c>
      <c r="N1644">
        <v>2004</v>
      </c>
    </row>
    <row r="1645" spans="1:14">
      <c r="A1645" t="s">
        <v>14</v>
      </c>
      <c r="B1645" t="str">
        <f>"111009200401"</f>
        <v>111009200401</v>
      </c>
      <c r="C1645" t="s">
        <v>2493</v>
      </c>
      <c r="D1645" t="s">
        <v>344</v>
      </c>
      <c r="G1645" t="s">
        <v>17</v>
      </c>
      <c r="H1645" t="s">
        <v>39</v>
      </c>
      <c r="I1645" t="s">
        <v>81</v>
      </c>
      <c r="J1645" t="s">
        <v>82</v>
      </c>
      <c r="K1645" t="s">
        <v>83</v>
      </c>
      <c r="L1645" t="s">
        <v>22</v>
      </c>
      <c r="M1645" s="1">
        <v>38240</v>
      </c>
      <c r="N1645">
        <v>2004</v>
      </c>
    </row>
    <row r="1646" spans="1:14">
      <c r="A1646" t="s">
        <v>14</v>
      </c>
      <c r="B1646" t="str">
        <f>"112406200200"</f>
        <v>112406200200</v>
      </c>
      <c r="C1646" t="s">
        <v>79</v>
      </c>
      <c r="D1646" t="s">
        <v>80</v>
      </c>
      <c r="G1646" t="s">
        <v>17</v>
      </c>
      <c r="H1646" t="s">
        <v>51</v>
      </c>
      <c r="I1646" t="s">
        <v>81</v>
      </c>
      <c r="J1646" t="s">
        <v>82</v>
      </c>
      <c r="K1646" t="s">
        <v>83</v>
      </c>
      <c r="M1646" s="1">
        <v>37431</v>
      </c>
      <c r="N1646">
        <v>2002</v>
      </c>
    </row>
    <row r="1647" spans="1:14">
      <c r="A1647" t="s">
        <v>14</v>
      </c>
      <c r="B1647" t="str">
        <f>"111909200301"</f>
        <v>111909200301</v>
      </c>
      <c r="C1647" t="s">
        <v>549</v>
      </c>
      <c r="D1647" t="s">
        <v>89</v>
      </c>
      <c r="G1647" t="s">
        <v>17</v>
      </c>
      <c r="H1647" t="s">
        <v>51</v>
      </c>
      <c r="I1647" t="s">
        <v>81</v>
      </c>
      <c r="J1647" t="s">
        <v>82</v>
      </c>
      <c r="K1647" t="s">
        <v>83</v>
      </c>
      <c r="L1647" t="s">
        <v>22</v>
      </c>
      <c r="M1647" s="1">
        <v>37883</v>
      </c>
      <c r="N1647">
        <v>2003</v>
      </c>
    </row>
    <row r="1648" spans="1:14">
      <c r="A1648" t="s">
        <v>14</v>
      </c>
      <c r="B1648" t="str">
        <f>"110606200200"</f>
        <v>110606200200</v>
      </c>
      <c r="C1648" t="s">
        <v>1151</v>
      </c>
      <c r="D1648" t="s">
        <v>268</v>
      </c>
      <c r="G1648" t="s">
        <v>17</v>
      </c>
      <c r="H1648" t="s">
        <v>51</v>
      </c>
      <c r="I1648" t="s">
        <v>81</v>
      </c>
      <c r="J1648" t="s">
        <v>82</v>
      </c>
      <c r="K1648" t="s">
        <v>83</v>
      </c>
      <c r="M1648" s="1">
        <v>37413</v>
      </c>
      <c r="N1648">
        <v>2002</v>
      </c>
    </row>
    <row r="1649" spans="1:14">
      <c r="A1649" t="s">
        <v>14</v>
      </c>
      <c r="B1649" t="str">
        <f>"111101200301"</f>
        <v>111101200301</v>
      </c>
      <c r="C1649" t="s">
        <v>1742</v>
      </c>
      <c r="D1649" t="s">
        <v>534</v>
      </c>
      <c r="G1649" t="s">
        <v>17</v>
      </c>
      <c r="H1649" t="s">
        <v>51</v>
      </c>
      <c r="I1649" t="s">
        <v>81</v>
      </c>
      <c r="J1649" t="s">
        <v>82</v>
      </c>
      <c r="K1649" t="s">
        <v>83</v>
      </c>
      <c r="L1649" t="s">
        <v>22</v>
      </c>
      <c r="M1649" s="1">
        <v>37632</v>
      </c>
      <c r="N1649">
        <v>2003</v>
      </c>
    </row>
    <row r="1650" spans="1:14">
      <c r="A1650" t="s">
        <v>14</v>
      </c>
      <c r="B1650" t="str">
        <f>"110605200301"</f>
        <v>110605200301</v>
      </c>
      <c r="C1650" t="s">
        <v>1969</v>
      </c>
      <c r="D1650" t="s">
        <v>1970</v>
      </c>
      <c r="G1650" t="s">
        <v>17</v>
      </c>
      <c r="H1650" t="s">
        <v>51</v>
      </c>
      <c r="I1650" t="s">
        <v>81</v>
      </c>
      <c r="J1650" t="s">
        <v>82</v>
      </c>
      <c r="K1650" t="s">
        <v>83</v>
      </c>
      <c r="L1650" t="s">
        <v>22</v>
      </c>
      <c r="M1650" s="1">
        <v>37747</v>
      </c>
      <c r="N1650">
        <v>2003</v>
      </c>
    </row>
    <row r="1651" spans="1:14">
      <c r="A1651" t="s">
        <v>14</v>
      </c>
      <c r="B1651" t="str">
        <f>"110302200300"</f>
        <v>110302200300</v>
      </c>
      <c r="C1651" t="s">
        <v>2719</v>
      </c>
      <c r="D1651" t="s">
        <v>155</v>
      </c>
      <c r="G1651" t="s">
        <v>17</v>
      </c>
      <c r="H1651" t="s">
        <v>51</v>
      </c>
      <c r="I1651" t="s">
        <v>81</v>
      </c>
      <c r="J1651" t="s">
        <v>82</v>
      </c>
      <c r="K1651" t="s">
        <v>83</v>
      </c>
      <c r="L1651" t="s">
        <v>22</v>
      </c>
      <c r="M1651" s="1">
        <v>37655</v>
      </c>
      <c r="N1651">
        <v>2003</v>
      </c>
    </row>
    <row r="1652" spans="1:14">
      <c r="A1652" t="s">
        <v>14</v>
      </c>
      <c r="B1652" t="str">
        <f>"122605200400"</f>
        <v>122605200400</v>
      </c>
      <c r="C1652" t="s">
        <v>2476</v>
      </c>
      <c r="D1652" t="s">
        <v>2477</v>
      </c>
      <c r="G1652" t="s">
        <v>32</v>
      </c>
      <c r="H1652" t="s">
        <v>33</v>
      </c>
      <c r="I1652" t="s">
        <v>400</v>
      </c>
      <c r="J1652" t="s">
        <v>401</v>
      </c>
      <c r="K1652" t="s">
        <v>1913</v>
      </c>
      <c r="L1652" t="s">
        <v>63</v>
      </c>
      <c r="M1652" s="1">
        <v>38133</v>
      </c>
      <c r="N1652">
        <v>2004</v>
      </c>
    </row>
    <row r="1653" spans="1:14">
      <c r="A1653" t="s">
        <v>14</v>
      </c>
      <c r="B1653" t="str">
        <f>"120809200401"</f>
        <v>120809200401</v>
      </c>
      <c r="C1653" t="s">
        <v>2478</v>
      </c>
      <c r="D1653" t="s">
        <v>310</v>
      </c>
      <c r="G1653" t="s">
        <v>32</v>
      </c>
      <c r="H1653" t="s">
        <v>33</v>
      </c>
      <c r="I1653" t="s">
        <v>400</v>
      </c>
      <c r="J1653" t="s">
        <v>401</v>
      </c>
      <c r="K1653" t="s">
        <v>2479</v>
      </c>
      <c r="L1653" t="s">
        <v>202</v>
      </c>
      <c r="M1653" s="1">
        <v>38238</v>
      </c>
      <c r="N1653">
        <v>2004</v>
      </c>
    </row>
    <row r="1654" spans="1:14">
      <c r="A1654" t="s">
        <v>14</v>
      </c>
      <c r="B1654" t="str">
        <f>"120306200300"</f>
        <v>120306200300</v>
      </c>
      <c r="C1654" t="s">
        <v>2595</v>
      </c>
      <c r="D1654" t="s">
        <v>139</v>
      </c>
      <c r="G1654" t="s">
        <v>32</v>
      </c>
      <c r="H1654" t="s">
        <v>65</v>
      </c>
      <c r="I1654" t="s">
        <v>400</v>
      </c>
      <c r="J1654" t="s">
        <v>401</v>
      </c>
      <c r="K1654" t="s">
        <v>402</v>
      </c>
      <c r="L1654" t="s">
        <v>63</v>
      </c>
      <c r="M1654" s="1">
        <v>37775</v>
      </c>
      <c r="N1654">
        <v>2003</v>
      </c>
    </row>
    <row r="1655" spans="1:14">
      <c r="A1655" t="s">
        <v>14</v>
      </c>
      <c r="B1655" t="str">
        <f>"112603200500"</f>
        <v>112603200500</v>
      </c>
      <c r="C1655" t="s">
        <v>746</v>
      </c>
      <c r="D1655" t="s">
        <v>747</v>
      </c>
      <c r="G1655" t="s">
        <v>17</v>
      </c>
      <c r="H1655" t="s">
        <v>39</v>
      </c>
      <c r="I1655" t="s">
        <v>400</v>
      </c>
      <c r="J1655" t="s">
        <v>401</v>
      </c>
      <c r="K1655" t="s">
        <v>748</v>
      </c>
      <c r="L1655" t="s">
        <v>22</v>
      </c>
      <c r="M1655" s="1">
        <v>38437</v>
      </c>
      <c r="N1655">
        <v>2005</v>
      </c>
    </row>
    <row r="1656" spans="1:14">
      <c r="A1656" t="s">
        <v>14</v>
      </c>
      <c r="B1656" t="str">
        <f>"113011200500"</f>
        <v>113011200500</v>
      </c>
      <c r="C1656" t="s">
        <v>1490</v>
      </c>
      <c r="D1656" t="s">
        <v>534</v>
      </c>
      <c r="G1656" t="s">
        <v>17</v>
      </c>
      <c r="H1656" t="s">
        <v>39</v>
      </c>
      <c r="I1656" t="s">
        <v>400</v>
      </c>
      <c r="J1656" t="s">
        <v>401</v>
      </c>
      <c r="K1656" t="s">
        <v>748</v>
      </c>
      <c r="L1656" t="s">
        <v>22</v>
      </c>
      <c r="M1656" s="1">
        <v>38686</v>
      </c>
      <c r="N1656">
        <v>2005</v>
      </c>
    </row>
    <row r="1657" spans="1:14">
      <c r="A1657" t="s">
        <v>14</v>
      </c>
      <c r="B1657" t="str">
        <f>"111903200401"</f>
        <v>111903200401</v>
      </c>
      <c r="C1657" t="s">
        <v>1911</v>
      </c>
      <c r="D1657" t="s">
        <v>1912</v>
      </c>
      <c r="G1657" t="s">
        <v>17</v>
      </c>
      <c r="H1657" t="s">
        <v>39</v>
      </c>
      <c r="I1657" t="s">
        <v>400</v>
      </c>
      <c r="J1657" t="s">
        <v>401</v>
      </c>
      <c r="K1657" t="s">
        <v>1913</v>
      </c>
      <c r="L1657" t="s">
        <v>22</v>
      </c>
      <c r="M1657" s="1">
        <v>38065</v>
      </c>
      <c r="N1657">
        <v>2004</v>
      </c>
    </row>
    <row r="1658" spans="1:14">
      <c r="A1658" t="s">
        <v>14</v>
      </c>
      <c r="B1658" t="str">
        <f>"112412200500"</f>
        <v>112412200500</v>
      </c>
      <c r="C1658" t="s">
        <v>2673</v>
      </c>
      <c r="D1658" t="s">
        <v>320</v>
      </c>
      <c r="G1658" t="s">
        <v>17</v>
      </c>
      <c r="H1658" t="s">
        <v>39</v>
      </c>
      <c r="I1658" t="s">
        <v>400</v>
      </c>
      <c r="J1658" t="s">
        <v>401</v>
      </c>
      <c r="K1658" t="s">
        <v>2479</v>
      </c>
      <c r="L1658" t="s">
        <v>202</v>
      </c>
      <c r="M1658" s="1">
        <v>38710</v>
      </c>
      <c r="N1658">
        <v>2005</v>
      </c>
    </row>
    <row r="1659" spans="1:14">
      <c r="A1659" t="s">
        <v>14</v>
      </c>
      <c r="B1659" t="str">
        <f>"112204200500"</f>
        <v>112204200500</v>
      </c>
      <c r="C1659" t="s">
        <v>2676</v>
      </c>
      <c r="D1659" t="s">
        <v>902</v>
      </c>
      <c r="G1659" t="s">
        <v>17</v>
      </c>
      <c r="H1659" t="s">
        <v>39</v>
      </c>
      <c r="I1659" t="s">
        <v>400</v>
      </c>
      <c r="J1659" t="s">
        <v>401</v>
      </c>
      <c r="K1659" t="s">
        <v>748</v>
      </c>
      <c r="L1659" t="s">
        <v>22</v>
      </c>
      <c r="M1659" s="1">
        <v>38464</v>
      </c>
      <c r="N1659">
        <v>2005</v>
      </c>
    </row>
    <row r="1660" spans="1:14">
      <c r="A1660" t="s">
        <v>14</v>
      </c>
      <c r="B1660" t="str">
        <f>"112702200403"</f>
        <v>112702200403</v>
      </c>
      <c r="C1660" t="s">
        <v>2744</v>
      </c>
      <c r="D1660" t="s">
        <v>728</v>
      </c>
      <c r="G1660" t="s">
        <v>17</v>
      </c>
      <c r="H1660" t="s">
        <v>39</v>
      </c>
      <c r="I1660" t="s">
        <v>400</v>
      </c>
      <c r="J1660" t="s">
        <v>401</v>
      </c>
      <c r="K1660" t="s">
        <v>2479</v>
      </c>
      <c r="L1660" t="s">
        <v>202</v>
      </c>
      <c r="M1660" s="1">
        <v>38044</v>
      </c>
      <c r="N1660">
        <v>2004</v>
      </c>
    </row>
    <row r="1661" spans="1:14">
      <c r="A1661" t="s">
        <v>14</v>
      </c>
      <c r="B1661" t="str">
        <f>"111605200500"</f>
        <v>111605200500</v>
      </c>
      <c r="C1661" t="s">
        <v>2803</v>
      </c>
      <c r="D1661" t="s">
        <v>2804</v>
      </c>
      <c r="G1661" t="s">
        <v>17</v>
      </c>
      <c r="H1661" t="s">
        <v>39</v>
      </c>
      <c r="I1661" t="s">
        <v>400</v>
      </c>
      <c r="J1661" t="s">
        <v>401</v>
      </c>
      <c r="K1661" t="s">
        <v>2479</v>
      </c>
      <c r="L1661" t="s">
        <v>202</v>
      </c>
      <c r="M1661" s="1">
        <v>38488</v>
      </c>
      <c r="N1661">
        <v>2005</v>
      </c>
    </row>
    <row r="1662" spans="1:14">
      <c r="A1662" t="s">
        <v>14</v>
      </c>
      <c r="B1662" t="str">
        <f>"112411200500"</f>
        <v>112411200500</v>
      </c>
      <c r="C1662" t="s">
        <v>2884</v>
      </c>
      <c r="D1662" t="s">
        <v>2885</v>
      </c>
      <c r="G1662" t="s">
        <v>17</v>
      </c>
      <c r="H1662" t="s">
        <v>39</v>
      </c>
      <c r="I1662" t="s">
        <v>400</v>
      </c>
      <c r="J1662" t="s">
        <v>401</v>
      </c>
      <c r="K1662" t="s">
        <v>2479</v>
      </c>
      <c r="L1662" t="s">
        <v>202</v>
      </c>
      <c r="M1662" s="1">
        <v>38680</v>
      </c>
      <c r="N1662">
        <v>2005</v>
      </c>
    </row>
    <row r="1663" spans="1:14">
      <c r="A1663" t="s">
        <v>14</v>
      </c>
      <c r="B1663" t="str">
        <f>"112109200201"</f>
        <v>112109200201</v>
      </c>
      <c r="C1663" t="s">
        <v>399</v>
      </c>
      <c r="D1663" t="s">
        <v>50</v>
      </c>
      <c r="G1663" t="s">
        <v>17</v>
      </c>
      <c r="H1663" t="s">
        <v>51</v>
      </c>
      <c r="I1663" t="s">
        <v>400</v>
      </c>
      <c r="J1663" t="s">
        <v>401</v>
      </c>
      <c r="K1663" t="s">
        <v>402</v>
      </c>
      <c r="L1663" t="s">
        <v>48</v>
      </c>
      <c r="M1663" s="1">
        <v>37520</v>
      </c>
      <c r="N1663">
        <v>2002</v>
      </c>
    </row>
    <row r="1664" spans="1:14">
      <c r="A1664" t="s">
        <v>14</v>
      </c>
      <c r="B1664" t="str">
        <f>"110806200201"</f>
        <v>110806200201</v>
      </c>
      <c r="C1664" t="s">
        <v>502</v>
      </c>
      <c r="D1664" t="s">
        <v>129</v>
      </c>
      <c r="G1664" t="s">
        <v>17</v>
      </c>
      <c r="H1664" t="s">
        <v>51</v>
      </c>
      <c r="I1664" t="s">
        <v>400</v>
      </c>
      <c r="J1664" t="s">
        <v>401</v>
      </c>
      <c r="K1664" t="s">
        <v>402</v>
      </c>
      <c r="L1664" t="s">
        <v>22</v>
      </c>
      <c r="M1664" s="1">
        <v>37415</v>
      </c>
      <c r="N1664">
        <v>2002</v>
      </c>
    </row>
    <row r="1665" spans="1:14">
      <c r="A1665" t="s">
        <v>14</v>
      </c>
      <c r="B1665" t="str">
        <f>"122102200404"</f>
        <v>122102200404</v>
      </c>
      <c r="C1665" t="s">
        <v>1454</v>
      </c>
      <c r="D1665" t="s">
        <v>152</v>
      </c>
      <c r="G1665" t="s">
        <v>32</v>
      </c>
      <c r="H1665" t="s">
        <v>33</v>
      </c>
      <c r="I1665" t="s">
        <v>116</v>
      </c>
      <c r="J1665" t="s">
        <v>117</v>
      </c>
      <c r="K1665" t="s">
        <v>499</v>
      </c>
      <c r="M1665" s="1">
        <v>38038</v>
      </c>
      <c r="N1665">
        <v>2004</v>
      </c>
    </row>
    <row r="1666" spans="1:14">
      <c r="A1666" t="s">
        <v>14</v>
      </c>
      <c r="B1666" t="str">
        <f>"122710200400"</f>
        <v>122710200400</v>
      </c>
      <c r="C1666" t="s">
        <v>1618</v>
      </c>
      <c r="D1666" t="s">
        <v>233</v>
      </c>
      <c r="G1666" t="s">
        <v>32</v>
      </c>
      <c r="H1666" t="s">
        <v>33</v>
      </c>
      <c r="I1666" t="s">
        <v>116</v>
      </c>
      <c r="J1666" t="s">
        <v>117</v>
      </c>
      <c r="K1666" t="s">
        <v>499</v>
      </c>
      <c r="M1666" s="1">
        <v>38287</v>
      </c>
      <c r="N1666">
        <v>2004</v>
      </c>
    </row>
    <row r="1667" spans="1:14">
      <c r="A1667" t="s">
        <v>14</v>
      </c>
      <c r="B1667" t="str">
        <f>"121712200200"</f>
        <v>121712200200</v>
      </c>
      <c r="C1667" t="s">
        <v>911</v>
      </c>
      <c r="D1667" t="s">
        <v>233</v>
      </c>
      <c r="G1667" t="s">
        <v>32</v>
      </c>
      <c r="H1667" t="s">
        <v>65</v>
      </c>
      <c r="I1667" t="s">
        <v>116</v>
      </c>
      <c r="J1667" t="s">
        <v>117</v>
      </c>
      <c r="K1667" t="s">
        <v>118</v>
      </c>
      <c r="M1667" s="1">
        <v>37607</v>
      </c>
      <c r="N1667">
        <v>2002</v>
      </c>
    </row>
    <row r="1668" spans="1:14">
      <c r="A1668" t="s">
        <v>14</v>
      </c>
      <c r="B1668" t="str">
        <f>"123011200200"</f>
        <v>123011200200</v>
      </c>
      <c r="C1668" t="s">
        <v>1079</v>
      </c>
      <c r="D1668" t="s">
        <v>203</v>
      </c>
      <c r="G1668" t="s">
        <v>32</v>
      </c>
      <c r="H1668" t="s">
        <v>65</v>
      </c>
      <c r="I1668" t="s">
        <v>116</v>
      </c>
      <c r="J1668" t="s">
        <v>117</v>
      </c>
      <c r="K1668" t="s">
        <v>118</v>
      </c>
      <c r="L1668" t="s">
        <v>22</v>
      </c>
      <c r="M1668" s="1">
        <v>37590</v>
      </c>
      <c r="N1668">
        <v>2002</v>
      </c>
    </row>
    <row r="1669" spans="1:14">
      <c r="A1669" t="s">
        <v>14</v>
      </c>
      <c r="B1669" t="str">
        <f>"120509200300"</f>
        <v>120509200300</v>
      </c>
      <c r="C1669" t="s">
        <v>1839</v>
      </c>
      <c r="D1669" t="s">
        <v>127</v>
      </c>
      <c r="G1669" t="s">
        <v>32</v>
      </c>
      <c r="H1669" t="s">
        <v>65</v>
      </c>
      <c r="I1669" t="s">
        <v>116</v>
      </c>
      <c r="J1669" t="s">
        <v>117</v>
      </c>
      <c r="K1669" t="s">
        <v>118</v>
      </c>
      <c r="M1669" s="1">
        <v>37869</v>
      </c>
      <c r="N1669">
        <v>2003</v>
      </c>
    </row>
    <row r="1670" spans="1:14">
      <c r="A1670" t="s">
        <v>14</v>
      </c>
      <c r="B1670" t="str">
        <f>"122510200200"</f>
        <v>122510200200</v>
      </c>
      <c r="C1670" t="s">
        <v>2395</v>
      </c>
      <c r="D1670" t="s">
        <v>184</v>
      </c>
      <c r="G1670" t="s">
        <v>32</v>
      </c>
      <c r="H1670" t="s">
        <v>65</v>
      </c>
      <c r="I1670" t="s">
        <v>116</v>
      </c>
      <c r="J1670" t="s">
        <v>117</v>
      </c>
      <c r="K1670" t="s">
        <v>118</v>
      </c>
      <c r="M1670" s="1">
        <v>37554</v>
      </c>
      <c r="N1670">
        <v>2002</v>
      </c>
    </row>
    <row r="1671" spans="1:14">
      <c r="A1671" t="s">
        <v>14</v>
      </c>
      <c r="B1671" t="str">
        <f>"122508200300"</f>
        <v>122508200300</v>
      </c>
      <c r="C1671" t="s">
        <v>2604</v>
      </c>
      <c r="D1671" t="s">
        <v>2605</v>
      </c>
      <c r="G1671" t="s">
        <v>32</v>
      </c>
      <c r="H1671" t="s">
        <v>65</v>
      </c>
      <c r="I1671" t="s">
        <v>116</v>
      </c>
      <c r="J1671" t="s">
        <v>117</v>
      </c>
      <c r="K1671" t="s">
        <v>499</v>
      </c>
      <c r="M1671" s="1">
        <v>37858</v>
      </c>
      <c r="N1671">
        <v>2003</v>
      </c>
    </row>
    <row r="1672" spans="1:14">
      <c r="A1672" t="s">
        <v>14</v>
      </c>
      <c r="B1672" t="str">
        <f>"121412200200"</f>
        <v>121412200200</v>
      </c>
      <c r="C1672" t="s">
        <v>2639</v>
      </c>
      <c r="D1672" t="s">
        <v>310</v>
      </c>
      <c r="G1672" t="s">
        <v>32</v>
      </c>
      <c r="H1672" t="s">
        <v>65</v>
      </c>
      <c r="I1672" t="s">
        <v>116</v>
      </c>
      <c r="J1672" t="s">
        <v>117</v>
      </c>
      <c r="K1672" t="s">
        <v>118</v>
      </c>
      <c r="M1672" s="1">
        <v>37604</v>
      </c>
      <c r="N1672">
        <v>2002</v>
      </c>
    </row>
    <row r="1673" spans="1:14">
      <c r="A1673" t="s">
        <v>14</v>
      </c>
      <c r="B1673" t="str">
        <f>"122702200101"</f>
        <v>122702200101</v>
      </c>
      <c r="C1673" t="s">
        <v>498</v>
      </c>
      <c r="D1673" t="s">
        <v>178</v>
      </c>
      <c r="G1673" t="s">
        <v>32</v>
      </c>
      <c r="H1673" t="s">
        <v>44</v>
      </c>
      <c r="I1673" t="s">
        <v>116</v>
      </c>
      <c r="J1673" t="s">
        <v>117</v>
      </c>
      <c r="K1673" t="s">
        <v>499</v>
      </c>
      <c r="M1673" s="1">
        <v>36949</v>
      </c>
      <c r="N1673">
        <v>2001</v>
      </c>
    </row>
    <row r="1674" spans="1:14">
      <c r="A1674" t="s">
        <v>14</v>
      </c>
      <c r="B1674" t="str">
        <f>"120408199902"</f>
        <v>120408199902</v>
      </c>
      <c r="C1674" t="s">
        <v>831</v>
      </c>
      <c r="D1674" t="s">
        <v>249</v>
      </c>
      <c r="G1674" t="s">
        <v>32</v>
      </c>
      <c r="H1674" t="s">
        <v>44</v>
      </c>
      <c r="I1674" t="s">
        <v>116</v>
      </c>
      <c r="J1674" t="s">
        <v>117</v>
      </c>
      <c r="K1674" t="s">
        <v>499</v>
      </c>
      <c r="M1674" s="1">
        <v>36376</v>
      </c>
      <c r="N1674">
        <v>1999</v>
      </c>
    </row>
    <row r="1675" spans="1:14">
      <c r="A1675" t="s">
        <v>14</v>
      </c>
      <c r="B1675" t="str">
        <f>"123006200100"</f>
        <v>123006200100</v>
      </c>
      <c r="C1675" t="s">
        <v>1850</v>
      </c>
      <c r="D1675" t="s">
        <v>970</v>
      </c>
      <c r="G1675" t="s">
        <v>32</v>
      </c>
      <c r="H1675" t="s">
        <v>44</v>
      </c>
      <c r="I1675" t="s">
        <v>116</v>
      </c>
      <c r="J1675" t="s">
        <v>117</v>
      </c>
      <c r="K1675" t="s">
        <v>118</v>
      </c>
      <c r="L1675" t="s">
        <v>22</v>
      </c>
      <c r="M1675" s="1">
        <v>37072</v>
      </c>
      <c r="N1675">
        <v>2001</v>
      </c>
    </row>
    <row r="1676" spans="1:14">
      <c r="A1676" t="s">
        <v>14</v>
      </c>
      <c r="B1676" t="str">
        <f>"120304200100"</f>
        <v>120304200100</v>
      </c>
      <c r="C1676" t="s">
        <v>2601</v>
      </c>
      <c r="D1676" t="s">
        <v>310</v>
      </c>
      <c r="G1676" t="s">
        <v>32</v>
      </c>
      <c r="H1676" t="s">
        <v>44</v>
      </c>
      <c r="I1676" t="s">
        <v>116</v>
      </c>
      <c r="J1676" t="s">
        <v>117</v>
      </c>
      <c r="K1676" t="s">
        <v>499</v>
      </c>
      <c r="M1676" s="1">
        <v>36984</v>
      </c>
      <c r="N1676">
        <v>2001</v>
      </c>
    </row>
    <row r="1677" spans="1:14">
      <c r="A1677" t="s">
        <v>14</v>
      </c>
      <c r="B1677" t="str">
        <f>"122808200100"</f>
        <v>122808200100</v>
      </c>
      <c r="C1677" t="s">
        <v>2604</v>
      </c>
      <c r="D1677" t="s">
        <v>2606</v>
      </c>
      <c r="G1677" t="s">
        <v>32</v>
      </c>
      <c r="H1677" t="s">
        <v>44</v>
      </c>
      <c r="I1677" t="s">
        <v>116</v>
      </c>
      <c r="J1677" t="s">
        <v>117</v>
      </c>
      <c r="K1677" t="s">
        <v>499</v>
      </c>
      <c r="M1677" s="1">
        <v>37131</v>
      </c>
      <c r="N1677">
        <v>2001</v>
      </c>
    </row>
    <row r="1678" spans="1:14">
      <c r="A1678" t="s">
        <v>14</v>
      </c>
      <c r="B1678" t="str">
        <f>"120612199901"</f>
        <v>120612199901</v>
      </c>
      <c r="C1678" t="s">
        <v>2762</v>
      </c>
      <c r="D1678" t="s">
        <v>127</v>
      </c>
      <c r="G1678" t="s">
        <v>32</v>
      </c>
      <c r="H1678" t="s">
        <v>44</v>
      </c>
      <c r="I1678" t="s">
        <v>116</v>
      </c>
      <c r="J1678" t="s">
        <v>117</v>
      </c>
      <c r="K1678" t="s">
        <v>118</v>
      </c>
      <c r="M1678" s="1">
        <v>36500</v>
      </c>
      <c r="N1678">
        <v>1999</v>
      </c>
    </row>
    <row r="1679" spans="1:14">
      <c r="A1679" t="s">
        <v>14</v>
      </c>
      <c r="B1679" t="str">
        <f>"111304199701"</f>
        <v>111304199701</v>
      </c>
      <c r="C1679" t="s">
        <v>1593</v>
      </c>
      <c r="D1679" t="s">
        <v>53</v>
      </c>
      <c r="G1679" t="s">
        <v>17</v>
      </c>
      <c r="H1679" t="s">
        <v>25</v>
      </c>
      <c r="I1679" t="s">
        <v>116</v>
      </c>
      <c r="J1679" t="s">
        <v>117</v>
      </c>
      <c r="K1679" t="s">
        <v>499</v>
      </c>
      <c r="L1679" t="s">
        <v>22</v>
      </c>
      <c r="M1679" s="1">
        <v>35533</v>
      </c>
      <c r="N1679">
        <v>1997</v>
      </c>
    </row>
    <row r="1680" spans="1:14">
      <c r="A1680" t="s">
        <v>14</v>
      </c>
      <c r="B1680" t="str">
        <f>"112703199200"</f>
        <v>112703199200</v>
      </c>
      <c r="C1680" t="s">
        <v>1924</v>
      </c>
      <c r="D1680" t="s">
        <v>24</v>
      </c>
      <c r="G1680" t="s">
        <v>17</v>
      </c>
      <c r="H1680" t="s">
        <v>25</v>
      </c>
      <c r="I1680" t="s">
        <v>116</v>
      </c>
      <c r="J1680" t="s">
        <v>117</v>
      </c>
      <c r="K1680" t="s">
        <v>118</v>
      </c>
      <c r="L1680" t="s">
        <v>48</v>
      </c>
      <c r="M1680" s="1">
        <v>33690</v>
      </c>
      <c r="N1680">
        <v>1992</v>
      </c>
    </row>
    <row r="1681" spans="1:14">
      <c r="A1681" t="s">
        <v>14</v>
      </c>
      <c r="B1681" t="str">
        <f>"113003200000"</f>
        <v>113003200000</v>
      </c>
      <c r="C1681" t="s">
        <v>114</v>
      </c>
      <c r="D1681" t="s">
        <v>115</v>
      </c>
      <c r="G1681" t="s">
        <v>17</v>
      </c>
      <c r="H1681" t="s">
        <v>18</v>
      </c>
      <c r="I1681" t="s">
        <v>116</v>
      </c>
      <c r="J1681" t="s">
        <v>117</v>
      </c>
      <c r="K1681" t="s">
        <v>118</v>
      </c>
      <c r="L1681" t="s">
        <v>63</v>
      </c>
      <c r="M1681" s="1">
        <v>36615</v>
      </c>
      <c r="N1681">
        <v>2000</v>
      </c>
    </row>
    <row r="1682" spans="1:14">
      <c r="A1682" t="s">
        <v>14</v>
      </c>
      <c r="B1682" t="str">
        <f>"112901200100"</f>
        <v>112901200100</v>
      </c>
      <c r="C1682" t="s">
        <v>547</v>
      </c>
      <c r="D1682" t="s">
        <v>209</v>
      </c>
      <c r="G1682" t="s">
        <v>17</v>
      </c>
      <c r="H1682" t="s">
        <v>18</v>
      </c>
      <c r="I1682" t="s">
        <v>116</v>
      </c>
      <c r="J1682" t="s">
        <v>117</v>
      </c>
      <c r="K1682" t="s">
        <v>499</v>
      </c>
      <c r="M1682" s="1">
        <v>36920</v>
      </c>
      <c r="N1682">
        <v>2001</v>
      </c>
    </row>
    <row r="1683" spans="1:14">
      <c r="A1683" t="s">
        <v>14</v>
      </c>
      <c r="B1683" t="str">
        <f>"110612200100"</f>
        <v>110612200100</v>
      </c>
      <c r="C1683" t="s">
        <v>1728</v>
      </c>
      <c r="D1683" t="s">
        <v>221</v>
      </c>
      <c r="G1683" t="s">
        <v>17</v>
      </c>
      <c r="H1683" t="s">
        <v>18</v>
      </c>
      <c r="I1683" t="s">
        <v>116</v>
      </c>
      <c r="J1683" t="s">
        <v>117</v>
      </c>
      <c r="K1683" t="s">
        <v>118</v>
      </c>
      <c r="M1683" s="1">
        <v>37231</v>
      </c>
      <c r="N1683">
        <v>2001</v>
      </c>
    </row>
    <row r="1684" spans="1:14">
      <c r="A1684" t="s">
        <v>14</v>
      </c>
      <c r="B1684" t="str">
        <f>"111803200100"</f>
        <v>111803200100</v>
      </c>
      <c r="C1684" t="s">
        <v>2271</v>
      </c>
      <c r="D1684" t="s">
        <v>115</v>
      </c>
      <c r="G1684" t="s">
        <v>17</v>
      </c>
      <c r="H1684" t="s">
        <v>18</v>
      </c>
      <c r="I1684" t="s">
        <v>116</v>
      </c>
      <c r="J1684" t="s">
        <v>117</v>
      </c>
      <c r="K1684" t="s">
        <v>118</v>
      </c>
      <c r="L1684" t="s">
        <v>22</v>
      </c>
      <c r="M1684" s="1">
        <v>36968</v>
      </c>
      <c r="N1684">
        <v>2001</v>
      </c>
    </row>
    <row r="1685" spans="1:14">
      <c r="A1685" t="s">
        <v>14</v>
      </c>
      <c r="B1685" t="str">
        <f>"110408199900"</f>
        <v>110408199900</v>
      </c>
      <c r="C1685" t="s">
        <v>2320</v>
      </c>
      <c r="D1685" t="s">
        <v>209</v>
      </c>
      <c r="G1685" t="s">
        <v>17</v>
      </c>
      <c r="H1685" t="s">
        <v>18</v>
      </c>
      <c r="I1685" t="s">
        <v>116</v>
      </c>
      <c r="J1685" t="s">
        <v>117</v>
      </c>
      <c r="K1685" t="s">
        <v>118</v>
      </c>
      <c r="L1685" t="s">
        <v>48</v>
      </c>
      <c r="M1685" s="1">
        <v>36376</v>
      </c>
      <c r="N1685">
        <v>1999</v>
      </c>
    </row>
    <row r="1686" spans="1:14">
      <c r="A1686" t="s">
        <v>14</v>
      </c>
      <c r="B1686" t="str">
        <f>"112207200001"</f>
        <v>112207200001</v>
      </c>
      <c r="C1686" t="s">
        <v>2570</v>
      </c>
      <c r="D1686" t="s">
        <v>24</v>
      </c>
      <c r="G1686" t="s">
        <v>17</v>
      </c>
      <c r="H1686" t="s">
        <v>18</v>
      </c>
      <c r="I1686" t="s">
        <v>116</v>
      </c>
      <c r="J1686" t="s">
        <v>117</v>
      </c>
      <c r="K1686" t="s">
        <v>499</v>
      </c>
      <c r="M1686" s="1">
        <v>36729</v>
      </c>
      <c r="N1686">
        <v>2000</v>
      </c>
    </row>
    <row r="1687" spans="1:14">
      <c r="A1687" t="s">
        <v>14</v>
      </c>
      <c r="B1687" t="str">
        <f>"110607200001"</f>
        <v>110607200001</v>
      </c>
      <c r="C1687" t="s">
        <v>2801</v>
      </c>
      <c r="D1687" t="s">
        <v>107</v>
      </c>
      <c r="G1687" t="s">
        <v>17</v>
      </c>
      <c r="H1687" t="s">
        <v>18</v>
      </c>
      <c r="I1687" t="s">
        <v>116</v>
      </c>
      <c r="J1687" t="s">
        <v>117</v>
      </c>
      <c r="K1687" t="s">
        <v>118</v>
      </c>
      <c r="L1687" t="s">
        <v>63</v>
      </c>
      <c r="M1687" s="1">
        <v>36713</v>
      </c>
      <c r="N1687">
        <v>2000</v>
      </c>
    </row>
    <row r="1688" spans="1:14">
      <c r="A1688" t="s">
        <v>14</v>
      </c>
      <c r="B1688" t="str">
        <f>"111805200101"</f>
        <v>111805200101</v>
      </c>
      <c r="C1688" t="s">
        <v>2845</v>
      </c>
      <c r="D1688" t="s">
        <v>259</v>
      </c>
      <c r="G1688" t="s">
        <v>17</v>
      </c>
      <c r="H1688" t="s">
        <v>18</v>
      </c>
      <c r="I1688" t="s">
        <v>116</v>
      </c>
      <c r="J1688" t="s">
        <v>117</v>
      </c>
      <c r="K1688" t="s">
        <v>499</v>
      </c>
      <c r="M1688" s="1">
        <v>37029</v>
      </c>
      <c r="N1688">
        <v>2001</v>
      </c>
    </row>
    <row r="1689" spans="1:14">
      <c r="A1689" t="s">
        <v>14</v>
      </c>
      <c r="B1689" t="str">
        <f>"112805200403"</f>
        <v>112805200403</v>
      </c>
      <c r="C1689" t="s">
        <v>2621</v>
      </c>
      <c r="D1689" t="s">
        <v>24</v>
      </c>
      <c r="G1689" t="s">
        <v>17</v>
      </c>
      <c r="H1689" t="s">
        <v>39</v>
      </c>
      <c r="I1689" t="s">
        <v>116</v>
      </c>
      <c r="J1689" t="s">
        <v>117</v>
      </c>
      <c r="K1689" t="s">
        <v>118</v>
      </c>
      <c r="M1689" s="1">
        <v>38135</v>
      </c>
      <c r="N1689">
        <v>2004</v>
      </c>
    </row>
    <row r="1690" spans="1:14">
      <c r="A1690" t="s">
        <v>14</v>
      </c>
      <c r="B1690" t="str">
        <f>"111902200305"</f>
        <v>111902200305</v>
      </c>
      <c r="C1690" t="s">
        <v>1697</v>
      </c>
      <c r="D1690" t="s">
        <v>95</v>
      </c>
      <c r="G1690" t="s">
        <v>17</v>
      </c>
      <c r="H1690" t="s">
        <v>51</v>
      </c>
      <c r="I1690" t="s">
        <v>116</v>
      </c>
      <c r="J1690" t="s">
        <v>117</v>
      </c>
      <c r="K1690" t="s">
        <v>499</v>
      </c>
      <c r="M1690" s="1">
        <v>37671</v>
      </c>
      <c r="N1690">
        <v>2003</v>
      </c>
    </row>
    <row r="1691" spans="1:14">
      <c r="A1691" t="s">
        <v>14</v>
      </c>
      <c r="B1691" t="str">
        <f>"112907200200"</f>
        <v>112907200200</v>
      </c>
      <c r="C1691" t="s">
        <v>1717</v>
      </c>
      <c r="D1691" t="s">
        <v>209</v>
      </c>
      <c r="G1691" t="s">
        <v>17</v>
      </c>
      <c r="H1691" t="s">
        <v>51</v>
      </c>
      <c r="I1691" t="s">
        <v>116</v>
      </c>
      <c r="J1691" t="s">
        <v>117</v>
      </c>
      <c r="K1691" t="s">
        <v>118</v>
      </c>
      <c r="L1691" t="s">
        <v>22</v>
      </c>
      <c r="M1691" s="1">
        <v>37466</v>
      </c>
      <c r="N1691">
        <v>2002</v>
      </c>
    </row>
    <row r="1692" spans="1:14">
      <c r="A1692" t="s">
        <v>14</v>
      </c>
      <c r="B1692" t="str">
        <f>"111603200201"</f>
        <v>111603200201</v>
      </c>
      <c r="C1692" t="s">
        <v>2437</v>
      </c>
      <c r="D1692" t="s">
        <v>95</v>
      </c>
      <c r="G1692" t="s">
        <v>17</v>
      </c>
      <c r="H1692" t="s">
        <v>51</v>
      </c>
      <c r="I1692" t="s">
        <v>116</v>
      </c>
      <c r="J1692" t="s">
        <v>117</v>
      </c>
      <c r="K1692" t="s">
        <v>118</v>
      </c>
      <c r="L1692" t="s">
        <v>22</v>
      </c>
      <c r="M1692" s="1">
        <v>37331</v>
      </c>
      <c r="N1692">
        <v>2002</v>
      </c>
    </row>
    <row r="1693" spans="1:14">
      <c r="A1693" t="s">
        <v>14</v>
      </c>
      <c r="B1693" t="str">
        <f>"112103200300"</f>
        <v>112103200300</v>
      </c>
      <c r="C1693" t="s">
        <v>2695</v>
      </c>
      <c r="D1693" t="s">
        <v>403</v>
      </c>
      <c r="G1693" t="s">
        <v>17</v>
      </c>
      <c r="H1693" t="s">
        <v>51</v>
      </c>
      <c r="I1693" t="s">
        <v>116</v>
      </c>
      <c r="J1693" t="s">
        <v>117</v>
      </c>
      <c r="K1693" t="s">
        <v>118</v>
      </c>
      <c r="M1693" s="1">
        <v>37701</v>
      </c>
      <c r="N1693">
        <v>2003</v>
      </c>
    </row>
    <row r="1694" spans="1:14">
      <c r="A1694" t="s">
        <v>14</v>
      </c>
      <c r="B1694" t="str">
        <f>"113112200300"</f>
        <v>113112200300</v>
      </c>
      <c r="C1694" t="s">
        <v>2752</v>
      </c>
      <c r="D1694" t="s">
        <v>53</v>
      </c>
      <c r="G1694" t="s">
        <v>17</v>
      </c>
      <c r="H1694" t="s">
        <v>51</v>
      </c>
      <c r="I1694" t="s">
        <v>116</v>
      </c>
      <c r="J1694" t="s">
        <v>117</v>
      </c>
      <c r="K1694" t="s">
        <v>118</v>
      </c>
      <c r="L1694" t="s">
        <v>22</v>
      </c>
      <c r="M1694" s="1">
        <v>37986</v>
      </c>
      <c r="N1694">
        <v>2003</v>
      </c>
    </row>
    <row r="1695" spans="1:14">
      <c r="A1695" t="s">
        <v>14</v>
      </c>
      <c r="B1695" t="str">
        <f>"110309200301"</f>
        <v>110309200301</v>
      </c>
      <c r="C1695" t="s">
        <v>2916</v>
      </c>
      <c r="D1695" t="s">
        <v>558</v>
      </c>
      <c r="G1695" t="s">
        <v>17</v>
      </c>
      <c r="H1695" t="s">
        <v>51</v>
      </c>
      <c r="I1695" t="s">
        <v>116</v>
      </c>
      <c r="J1695" t="s">
        <v>117</v>
      </c>
      <c r="K1695" t="s">
        <v>118</v>
      </c>
      <c r="L1695" t="s">
        <v>22</v>
      </c>
      <c r="M1695" s="1">
        <v>37867</v>
      </c>
      <c r="N1695">
        <v>2003</v>
      </c>
    </row>
    <row r="1696" spans="1:14">
      <c r="A1696" t="s">
        <v>14</v>
      </c>
      <c r="B1696" t="str">
        <f>"121902200400"</f>
        <v>121902200400</v>
      </c>
      <c r="C1696" t="s">
        <v>483</v>
      </c>
      <c r="D1696" t="s">
        <v>143</v>
      </c>
      <c r="G1696" t="s">
        <v>32</v>
      </c>
      <c r="H1696" t="s">
        <v>33</v>
      </c>
      <c r="I1696" t="s">
        <v>104</v>
      </c>
      <c r="J1696" t="s">
        <v>105</v>
      </c>
      <c r="K1696" t="s">
        <v>484</v>
      </c>
      <c r="M1696" s="1">
        <v>38036</v>
      </c>
      <c r="N1696">
        <v>2004</v>
      </c>
    </row>
    <row r="1697" spans="1:14">
      <c r="A1697" t="s">
        <v>14</v>
      </c>
      <c r="B1697" t="str">
        <f>"121511200500"</f>
        <v>121511200500</v>
      </c>
      <c r="C1697" t="s">
        <v>520</v>
      </c>
      <c r="D1697" t="s">
        <v>521</v>
      </c>
      <c r="G1697" t="s">
        <v>32</v>
      </c>
      <c r="H1697" t="s">
        <v>33</v>
      </c>
      <c r="I1697" t="s">
        <v>104</v>
      </c>
      <c r="J1697" t="s">
        <v>105</v>
      </c>
      <c r="K1697" t="s">
        <v>481</v>
      </c>
      <c r="L1697" t="s">
        <v>22</v>
      </c>
      <c r="M1697" s="1">
        <v>38671</v>
      </c>
      <c r="N1697">
        <v>2005</v>
      </c>
    </row>
    <row r="1698" spans="1:14">
      <c r="A1698" t="s">
        <v>14</v>
      </c>
      <c r="B1698" t="str">
        <f>"120808200500"</f>
        <v>120808200500</v>
      </c>
      <c r="C1698" t="s">
        <v>909</v>
      </c>
      <c r="D1698" t="s">
        <v>58</v>
      </c>
      <c r="G1698" t="s">
        <v>32</v>
      </c>
      <c r="H1698" t="s">
        <v>33</v>
      </c>
      <c r="I1698" t="s">
        <v>104</v>
      </c>
      <c r="J1698" t="s">
        <v>105</v>
      </c>
      <c r="K1698" t="s">
        <v>481</v>
      </c>
      <c r="L1698" t="s">
        <v>22</v>
      </c>
      <c r="M1698" s="1">
        <v>38572</v>
      </c>
      <c r="N1698">
        <v>2005</v>
      </c>
    </row>
    <row r="1699" spans="1:14">
      <c r="A1699" t="s">
        <v>14</v>
      </c>
      <c r="B1699" t="str">
        <f>"123001200400"</f>
        <v>123001200400</v>
      </c>
      <c r="C1699" t="s">
        <v>924</v>
      </c>
      <c r="D1699" t="s">
        <v>310</v>
      </c>
      <c r="G1699" t="s">
        <v>32</v>
      </c>
      <c r="H1699" t="s">
        <v>33</v>
      </c>
      <c r="I1699" t="s">
        <v>104</v>
      </c>
      <c r="J1699" t="s">
        <v>105</v>
      </c>
      <c r="K1699" t="s">
        <v>484</v>
      </c>
      <c r="L1699" t="s">
        <v>22</v>
      </c>
      <c r="M1699" s="1">
        <v>38016</v>
      </c>
      <c r="N1699">
        <v>2004</v>
      </c>
    </row>
    <row r="1700" spans="1:14">
      <c r="A1700" t="s">
        <v>14</v>
      </c>
      <c r="B1700" t="str">
        <f>"120605200400"</f>
        <v>120605200400</v>
      </c>
      <c r="C1700" t="s">
        <v>1008</v>
      </c>
      <c r="D1700" t="s">
        <v>203</v>
      </c>
      <c r="G1700" t="s">
        <v>32</v>
      </c>
      <c r="H1700" t="s">
        <v>33</v>
      </c>
      <c r="I1700" t="s">
        <v>104</v>
      </c>
      <c r="J1700" t="s">
        <v>105</v>
      </c>
      <c r="K1700" t="s">
        <v>106</v>
      </c>
      <c r="L1700" t="s">
        <v>22</v>
      </c>
      <c r="M1700" s="1">
        <v>38113</v>
      </c>
      <c r="N1700">
        <v>2004</v>
      </c>
    </row>
    <row r="1701" spans="1:14">
      <c r="A1701" t="s">
        <v>14</v>
      </c>
      <c r="B1701" t="str">
        <f>"120110200400"</f>
        <v>120110200400</v>
      </c>
      <c r="C1701" t="s">
        <v>1039</v>
      </c>
      <c r="D1701" t="s">
        <v>238</v>
      </c>
      <c r="G1701" t="s">
        <v>32</v>
      </c>
      <c r="H1701" t="s">
        <v>33</v>
      </c>
      <c r="I1701" t="s">
        <v>104</v>
      </c>
      <c r="J1701" t="s">
        <v>105</v>
      </c>
      <c r="K1701" t="s">
        <v>458</v>
      </c>
      <c r="L1701" t="s">
        <v>22</v>
      </c>
      <c r="M1701" s="1">
        <v>38261</v>
      </c>
      <c r="N1701">
        <v>2004</v>
      </c>
    </row>
    <row r="1702" spans="1:14">
      <c r="A1702" t="s">
        <v>14</v>
      </c>
      <c r="B1702" t="str">
        <f>"121903200400"</f>
        <v>121903200400</v>
      </c>
      <c r="C1702" t="s">
        <v>1294</v>
      </c>
      <c r="D1702" t="s">
        <v>611</v>
      </c>
      <c r="G1702" t="s">
        <v>32</v>
      </c>
      <c r="H1702" t="s">
        <v>33</v>
      </c>
      <c r="I1702" t="s">
        <v>104</v>
      </c>
      <c r="J1702" t="s">
        <v>105</v>
      </c>
      <c r="K1702" t="s">
        <v>106</v>
      </c>
      <c r="L1702" t="s">
        <v>22</v>
      </c>
      <c r="M1702" s="1">
        <v>38065</v>
      </c>
      <c r="N1702">
        <v>2004</v>
      </c>
    </row>
    <row r="1703" spans="1:14">
      <c r="A1703" t="s">
        <v>14</v>
      </c>
      <c r="B1703" t="str">
        <f>"123112200400"</f>
        <v>123112200400</v>
      </c>
      <c r="C1703" t="s">
        <v>1362</v>
      </c>
      <c r="D1703" t="s">
        <v>127</v>
      </c>
      <c r="G1703" t="s">
        <v>32</v>
      </c>
      <c r="H1703" t="s">
        <v>33</v>
      </c>
      <c r="I1703" t="s">
        <v>104</v>
      </c>
      <c r="J1703" t="s">
        <v>105</v>
      </c>
      <c r="K1703" t="s">
        <v>484</v>
      </c>
      <c r="L1703" t="s">
        <v>22</v>
      </c>
      <c r="M1703" s="1">
        <v>38352</v>
      </c>
      <c r="N1703">
        <v>2004</v>
      </c>
    </row>
    <row r="1704" spans="1:14">
      <c r="A1704" t="s">
        <v>14</v>
      </c>
      <c r="B1704" t="str">
        <f>"122304200500"</f>
        <v>122304200500</v>
      </c>
      <c r="C1704" t="s">
        <v>1533</v>
      </c>
      <c r="D1704" t="s">
        <v>152</v>
      </c>
      <c r="G1704" t="s">
        <v>32</v>
      </c>
      <c r="H1704" t="s">
        <v>33</v>
      </c>
      <c r="I1704" t="s">
        <v>104</v>
      </c>
      <c r="J1704" t="s">
        <v>105</v>
      </c>
      <c r="K1704" t="s">
        <v>106</v>
      </c>
      <c r="L1704" t="s">
        <v>22</v>
      </c>
      <c r="M1704" s="1">
        <v>38465</v>
      </c>
      <c r="N1704">
        <v>2005</v>
      </c>
    </row>
    <row r="1705" spans="1:14">
      <c r="A1705" t="s">
        <v>14</v>
      </c>
      <c r="B1705" t="str">
        <f>"121004200400"</f>
        <v>121004200400</v>
      </c>
      <c r="C1705" t="s">
        <v>1696</v>
      </c>
      <c r="D1705" t="s">
        <v>233</v>
      </c>
      <c r="G1705" t="s">
        <v>32</v>
      </c>
      <c r="H1705" t="s">
        <v>33</v>
      </c>
      <c r="I1705" t="s">
        <v>104</v>
      </c>
      <c r="J1705" t="s">
        <v>105</v>
      </c>
      <c r="K1705" t="s">
        <v>295</v>
      </c>
      <c r="L1705" t="s">
        <v>22</v>
      </c>
      <c r="M1705" s="1">
        <v>38087</v>
      </c>
      <c r="N1705">
        <v>2004</v>
      </c>
    </row>
    <row r="1706" spans="1:14">
      <c r="A1706" t="s">
        <v>14</v>
      </c>
      <c r="B1706" t="str">
        <f>"122502200400"</f>
        <v>122502200400</v>
      </c>
      <c r="C1706" t="s">
        <v>1727</v>
      </c>
      <c r="D1706" t="s">
        <v>188</v>
      </c>
      <c r="G1706" t="s">
        <v>32</v>
      </c>
      <c r="H1706" t="s">
        <v>33</v>
      </c>
      <c r="I1706" t="s">
        <v>104</v>
      </c>
      <c r="J1706" t="s">
        <v>105</v>
      </c>
      <c r="K1706" t="s">
        <v>481</v>
      </c>
      <c r="L1706" t="s">
        <v>22</v>
      </c>
      <c r="M1706" s="1">
        <v>38042</v>
      </c>
      <c r="N1706">
        <v>2004</v>
      </c>
    </row>
    <row r="1707" spans="1:14">
      <c r="A1707" t="s">
        <v>14</v>
      </c>
      <c r="B1707" t="str">
        <f>"121104200500"</f>
        <v>121104200500</v>
      </c>
      <c r="C1707" t="s">
        <v>1743</v>
      </c>
      <c r="D1707" t="s">
        <v>541</v>
      </c>
      <c r="G1707" t="s">
        <v>32</v>
      </c>
      <c r="H1707" t="s">
        <v>33</v>
      </c>
      <c r="I1707" t="s">
        <v>104</v>
      </c>
      <c r="J1707" t="s">
        <v>105</v>
      </c>
      <c r="K1707" t="s">
        <v>481</v>
      </c>
      <c r="L1707" t="s">
        <v>22</v>
      </c>
      <c r="M1707" s="1">
        <v>38453</v>
      </c>
      <c r="N1707">
        <v>2005</v>
      </c>
    </row>
    <row r="1708" spans="1:14">
      <c r="A1708" t="s">
        <v>14</v>
      </c>
      <c r="B1708" t="str">
        <f>"110704200500"</f>
        <v>110704200500</v>
      </c>
      <c r="C1708" t="s">
        <v>1797</v>
      </c>
      <c r="D1708" t="s">
        <v>385</v>
      </c>
      <c r="G1708" t="s">
        <v>32</v>
      </c>
      <c r="H1708" t="s">
        <v>33</v>
      </c>
      <c r="I1708" t="s">
        <v>104</v>
      </c>
      <c r="J1708" t="s">
        <v>105</v>
      </c>
      <c r="K1708" t="s">
        <v>481</v>
      </c>
      <c r="L1708" t="s">
        <v>22</v>
      </c>
      <c r="M1708" s="1">
        <v>38449</v>
      </c>
      <c r="N1708">
        <v>2005</v>
      </c>
    </row>
    <row r="1709" spans="1:14">
      <c r="A1709" t="s">
        <v>14</v>
      </c>
      <c r="B1709" t="str">
        <f>"121101200500"</f>
        <v>121101200500</v>
      </c>
      <c r="C1709" t="s">
        <v>2189</v>
      </c>
      <c r="D1709" t="s">
        <v>31</v>
      </c>
      <c r="G1709" t="s">
        <v>32</v>
      </c>
      <c r="H1709" t="s">
        <v>33</v>
      </c>
      <c r="I1709" t="s">
        <v>104</v>
      </c>
      <c r="J1709" t="s">
        <v>105</v>
      </c>
      <c r="K1709" t="s">
        <v>481</v>
      </c>
      <c r="L1709" t="s">
        <v>22</v>
      </c>
      <c r="M1709" s="1">
        <v>38363</v>
      </c>
      <c r="N1709">
        <v>2005</v>
      </c>
    </row>
    <row r="1710" spans="1:14">
      <c r="A1710" t="s">
        <v>14</v>
      </c>
      <c r="B1710" t="str">
        <f>"122306200500"</f>
        <v>122306200500</v>
      </c>
      <c r="C1710" t="s">
        <v>2411</v>
      </c>
      <c r="D1710" t="s">
        <v>205</v>
      </c>
      <c r="G1710" t="s">
        <v>32</v>
      </c>
      <c r="H1710" t="s">
        <v>33</v>
      </c>
      <c r="I1710" t="s">
        <v>104</v>
      </c>
      <c r="J1710" t="s">
        <v>105</v>
      </c>
      <c r="K1710" t="s">
        <v>481</v>
      </c>
      <c r="L1710" t="s">
        <v>22</v>
      </c>
      <c r="M1710" s="1">
        <v>38526</v>
      </c>
      <c r="N1710">
        <v>2005</v>
      </c>
    </row>
    <row r="1711" spans="1:14">
      <c r="A1711" t="s">
        <v>14</v>
      </c>
      <c r="B1711" t="str">
        <f>"120112200401"</f>
        <v>120112200401</v>
      </c>
      <c r="C1711" t="s">
        <v>2528</v>
      </c>
      <c r="D1711" t="s">
        <v>194</v>
      </c>
      <c r="G1711" t="s">
        <v>32</v>
      </c>
      <c r="H1711" t="s">
        <v>33</v>
      </c>
      <c r="I1711" t="s">
        <v>104</v>
      </c>
      <c r="J1711" t="s">
        <v>105</v>
      </c>
      <c r="K1711" t="s">
        <v>106</v>
      </c>
      <c r="L1711" t="s">
        <v>22</v>
      </c>
      <c r="M1711" s="1">
        <v>38322</v>
      </c>
      <c r="N1711">
        <v>2004</v>
      </c>
    </row>
    <row r="1712" spans="1:14">
      <c r="A1712" t="s">
        <v>14</v>
      </c>
      <c r="B1712" t="str">
        <f>"120711200400"</f>
        <v>120711200400</v>
      </c>
      <c r="C1712" t="s">
        <v>2643</v>
      </c>
      <c r="D1712" t="s">
        <v>1625</v>
      </c>
      <c r="G1712" t="s">
        <v>32</v>
      </c>
      <c r="H1712" t="s">
        <v>33</v>
      </c>
      <c r="I1712" t="s">
        <v>104</v>
      </c>
      <c r="J1712" t="s">
        <v>105</v>
      </c>
      <c r="K1712" t="s">
        <v>484</v>
      </c>
      <c r="M1712" s="1">
        <v>38298</v>
      </c>
      <c r="N1712">
        <v>2004</v>
      </c>
    </row>
    <row r="1713" spans="1:14">
      <c r="A1713" t="s">
        <v>14</v>
      </c>
      <c r="B1713" t="str">
        <f>"120202200501"</f>
        <v>120202200501</v>
      </c>
      <c r="C1713" t="s">
        <v>2667</v>
      </c>
      <c r="D1713" t="s">
        <v>64</v>
      </c>
      <c r="G1713" t="s">
        <v>32</v>
      </c>
      <c r="H1713" t="s">
        <v>33</v>
      </c>
      <c r="I1713" t="s">
        <v>104</v>
      </c>
      <c r="J1713" t="s">
        <v>105</v>
      </c>
      <c r="K1713" t="s">
        <v>106</v>
      </c>
      <c r="L1713" t="s">
        <v>22</v>
      </c>
      <c r="M1713" s="1">
        <v>38385</v>
      </c>
      <c r="N1713">
        <v>2005</v>
      </c>
    </row>
    <row r="1714" spans="1:14">
      <c r="A1714" t="s">
        <v>14</v>
      </c>
      <c r="B1714" t="str">
        <f>"121205200500"</f>
        <v>121205200500</v>
      </c>
      <c r="C1714" t="s">
        <v>2730</v>
      </c>
      <c r="D1714" t="s">
        <v>184</v>
      </c>
      <c r="G1714" t="s">
        <v>32</v>
      </c>
      <c r="H1714" t="s">
        <v>33</v>
      </c>
      <c r="I1714" t="s">
        <v>104</v>
      </c>
      <c r="J1714" t="s">
        <v>105</v>
      </c>
      <c r="K1714" t="s">
        <v>106</v>
      </c>
      <c r="L1714" t="s">
        <v>22</v>
      </c>
      <c r="M1714" s="1">
        <v>38484</v>
      </c>
      <c r="N1714">
        <v>2005</v>
      </c>
    </row>
    <row r="1715" spans="1:14">
      <c r="A1715" t="s">
        <v>14</v>
      </c>
      <c r="B1715" t="str">
        <f>"122410200500"</f>
        <v>122410200500</v>
      </c>
      <c r="C1715" t="s">
        <v>2818</v>
      </c>
      <c r="D1715" t="s">
        <v>184</v>
      </c>
      <c r="G1715" t="s">
        <v>32</v>
      </c>
      <c r="H1715" t="s">
        <v>33</v>
      </c>
      <c r="I1715" t="s">
        <v>104</v>
      </c>
      <c r="J1715" t="s">
        <v>105</v>
      </c>
      <c r="K1715" t="s">
        <v>106</v>
      </c>
      <c r="L1715" t="s">
        <v>22</v>
      </c>
      <c r="M1715" s="1">
        <v>38649</v>
      </c>
      <c r="N1715">
        <v>2005</v>
      </c>
    </row>
    <row r="1716" spans="1:14">
      <c r="A1716" t="s">
        <v>14</v>
      </c>
      <c r="B1716" t="str">
        <f>"120912200200"</f>
        <v>120912200200</v>
      </c>
      <c r="C1716" t="s">
        <v>331</v>
      </c>
      <c r="D1716" t="s">
        <v>332</v>
      </c>
      <c r="G1716" t="s">
        <v>32</v>
      </c>
      <c r="H1716" t="s">
        <v>65</v>
      </c>
      <c r="I1716" t="s">
        <v>104</v>
      </c>
      <c r="J1716" t="s">
        <v>105</v>
      </c>
      <c r="K1716" t="s">
        <v>333</v>
      </c>
      <c r="M1716" s="1">
        <v>37599</v>
      </c>
      <c r="N1716">
        <v>2002</v>
      </c>
    </row>
    <row r="1717" spans="1:14">
      <c r="A1717" t="s">
        <v>14</v>
      </c>
      <c r="B1717" t="str">
        <f>"121301200301"</f>
        <v>121301200301</v>
      </c>
      <c r="C1717" t="s">
        <v>482</v>
      </c>
      <c r="D1717" t="s">
        <v>184</v>
      </c>
      <c r="G1717" t="s">
        <v>32</v>
      </c>
      <c r="H1717" t="s">
        <v>65</v>
      </c>
      <c r="I1717" t="s">
        <v>104</v>
      </c>
      <c r="J1717" t="s">
        <v>105</v>
      </c>
      <c r="K1717" t="s">
        <v>106</v>
      </c>
      <c r="L1717" t="s">
        <v>22</v>
      </c>
      <c r="M1717" s="1">
        <v>37634</v>
      </c>
      <c r="N1717">
        <v>2003</v>
      </c>
    </row>
    <row r="1718" spans="1:14">
      <c r="A1718" t="s">
        <v>14</v>
      </c>
      <c r="B1718" t="str">
        <f>"120706200200"</f>
        <v>120706200200</v>
      </c>
      <c r="C1718" t="s">
        <v>724</v>
      </c>
      <c r="D1718" t="s">
        <v>725</v>
      </c>
      <c r="G1718" t="s">
        <v>32</v>
      </c>
      <c r="H1718" t="s">
        <v>65</v>
      </c>
      <c r="I1718" t="s">
        <v>104</v>
      </c>
      <c r="J1718" t="s">
        <v>105</v>
      </c>
      <c r="K1718" t="s">
        <v>106</v>
      </c>
      <c r="L1718" t="s">
        <v>22</v>
      </c>
      <c r="M1718" s="1">
        <v>37414</v>
      </c>
      <c r="N1718">
        <v>2002</v>
      </c>
    </row>
    <row r="1719" spans="1:14">
      <c r="A1719" t="s">
        <v>14</v>
      </c>
      <c r="B1719" t="str">
        <f>"122602200300"</f>
        <v>122602200300</v>
      </c>
      <c r="C1719" t="s">
        <v>750</v>
      </c>
      <c r="D1719" t="s">
        <v>551</v>
      </c>
      <c r="G1719" t="s">
        <v>32</v>
      </c>
      <c r="H1719" t="s">
        <v>65</v>
      </c>
      <c r="I1719" t="s">
        <v>104</v>
      </c>
      <c r="J1719" t="s">
        <v>105</v>
      </c>
      <c r="K1719" t="s">
        <v>153</v>
      </c>
      <c r="L1719" t="s">
        <v>22</v>
      </c>
      <c r="M1719" s="1">
        <v>37678</v>
      </c>
      <c r="N1719">
        <v>2003</v>
      </c>
    </row>
    <row r="1720" spans="1:14">
      <c r="A1720" t="s">
        <v>14</v>
      </c>
      <c r="B1720" t="str">
        <f>"122804200300"</f>
        <v>122804200300</v>
      </c>
      <c r="C1720" t="s">
        <v>759</v>
      </c>
      <c r="D1720" t="s">
        <v>58</v>
      </c>
      <c r="G1720" t="s">
        <v>32</v>
      </c>
      <c r="H1720" t="s">
        <v>65</v>
      </c>
      <c r="I1720" t="s">
        <v>104</v>
      </c>
      <c r="J1720" t="s">
        <v>105</v>
      </c>
      <c r="K1720" t="s">
        <v>330</v>
      </c>
      <c r="L1720" t="s">
        <v>63</v>
      </c>
      <c r="M1720" s="1">
        <v>37739</v>
      </c>
      <c r="N1720">
        <v>2003</v>
      </c>
    </row>
    <row r="1721" spans="1:14">
      <c r="A1721" t="s">
        <v>14</v>
      </c>
      <c r="B1721" t="str">
        <f>"120803200300"</f>
        <v>120803200300</v>
      </c>
      <c r="C1721" t="s">
        <v>1061</v>
      </c>
      <c r="D1721" t="s">
        <v>235</v>
      </c>
      <c r="G1721" t="s">
        <v>32</v>
      </c>
      <c r="H1721" t="s">
        <v>65</v>
      </c>
      <c r="I1721" t="s">
        <v>104</v>
      </c>
      <c r="J1721" t="s">
        <v>105</v>
      </c>
      <c r="K1721" t="s">
        <v>153</v>
      </c>
      <c r="L1721" t="s">
        <v>22</v>
      </c>
      <c r="M1721" s="1">
        <v>37688</v>
      </c>
      <c r="N1721">
        <v>2003</v>
      </c>
    </row>
    <row r="1722" spans="1:14">
      <c r="A1722" t="s">
        <v>14</v>
      </c>
      <c r="B1722" t="str">
        <f>"122703200300"</f>
        <v>122703200300</v>
      </c>
      <c r="C1722" t="s">
        <v>1208</v>
      </c>
      <c r="D1722" t="s">
        <v>203</v>
      </c>
      <c r="G1722" t="s">
        <v>32</v>
      </c>
      <c r="H1722" t="s">
        <v>65</v>
      </c>
      <c r="I1722" t="s">
        <v>104</v>
      </c>
      <c r="J1722" t="s">
        <v>105</v>
      </c>
      <c r="K1722" t="s">
        <v>330</v>
      </c>
      <c r="L1722" t="s">
        <v>63</v>
      </c>
      <c r="M1722" s="1">
        <v>37707</v>
      </c>
      <c r="N1722">
        <v>2003</v>
      </c>
    </row>
    <row r="1723" spans="1:14">
      <c r="A1723" t="s">
        <v>14</v>
      </c>
      <c r="B1723" t="str">
        <f>"122801200200"</f>
        <v>122801200200</v>
      </c>
      <c r="C1723" t="s">
        <v>1208</v>
      </c>
      <c r="D1723" t="s">
        <v>380</v>
      </c>
      <c r="G1723" t="s">
        <v>32</v>
      </c>
      <c r="H1723" t="s">
        <v>65</v>
      </c>
      <c r="I1723" t="s">
        <v>104</v>
      </c>
      <c r="J1723" t="s">
        <v>105</v>
      </c>
      <c r="K1723" t="s">
        <v>792</v>
      </c>
      <c r="L1723" t="s">
        <v>63</v>
      </c>
      <c r="M1723" s="1">
        <v>37284</v>
      </c>
      <c r="N1723">
        <v>2002</v>
      </c>
    </row>
    <row r="1724" spans="1:14">
      <c r="A1724" t="s">
        <v>14</v>
      </c>
      <c r="B1724" t="str">
        <f>"122906200300"</f>
        <v>122906200300</v>
      </c>
      <c r="C1724" t="s">
        <v>1208</v>
      </c>
      <c r="D1724" t="s">
        <v>64</v>
      </c>
      <c r="G1724" t="s">
        <v>32</v>
      </c>
      <c r="H1724" t="s">
        <v>65</v>
      </c>
      <c r="I1724" t="s">
        <v>104</v>
      </c>
      <c r="J1724" t="s">
        <v>105</v>
      </c>
      <c r="K1724" t="s">
        <v>1212</v>
      </c>
      <c r="L1724" t="s">
        <v>22</v>
      </c>
      <c r="M1724" s="1">
        <v>37801</v>
      </c>
      <c r="N1724">
        <v>2003</v>
      </c>
    </row>
    <row r="1725" spans="1:14">
      <c r="A1725" t="s">
        <v>14</v>
      </c>
      <c r="B1725" t="str">
        <f>"121902200203"</f>
        <v>121902200203</v>
      </c>
      <c r="C1725" t="s">
        <v>1217</v>
      </c>
      <c r="D1725" t="s">
        <v>64</v>
      </c>
      <c r="G1725" t="s">
        <v>32</v>
      </c>
      <c r="H1725" t="s">
        <v>65</v>
      </c>
      <c r="I1725" t="s">
        <v>104</v>
      </c>
      <c r="J1725" t="s">
        <v>105</v>
      </c>
      <c r="K1725" t="s">
        <v>1212</v>
      </c>
      <c r="L1725" t="s">
        <v>63</v>
      </c>
      <c r="M1725" s="1">
        <v>37306</v>
      </c>
      <c r="N1725">
        <v>2002</v>
      </c>
    </row>
    <row r="1726" spans="1:14">
      <c r="A1726" t="s">
        <v>14</v>
      </c>
      <c r="B1726" t="str">
        <f>"121410200300"</f>
        <v>121410200300</v>
      </c>
      <c r="C1726" t="s">
        <v>1414</v>
      </c>
      <c r="D1726" t="s">
        <v>233</v>
      </c>
      <c r="G1726" t="s">
        <v>32</v>
      </c>
      <c r="H1726" t="s">
        <v>65</v>
      </c>
      <c r="I1726" t="s">
        <v>104</v>
      </c>
      <c r="J1726" t="s">
        <v>105</v>
      </c>
      <c r="K1726" t="s">
        <v>153</v>
      </c>
      <c r="M1726" s="1">
        <v>37908</v>
      </c>
      <c r="N1726">
        <v>2003</v>
      </c>
    </row>
    <row r="1727" spans="1:14">
      <c r="A1727" t="s">
        <v>14</v>
      </c>
      <c r="B1727" t="str">
        <f>"120204200200"</f>
        <v>120204200200</v>
      </c>
      <c r="C1727" t="s">
        <v>1437</v>
      </c>
      <c r="D1727" t="s">
        <v>184</v>
      </c>
      <c r="G1727" t="s">
        <v>32</v>
      </c>
      <c r="H1727" t="s">
        <v>65</v>
      </c>
      <c r="I1727" t="s">
        <v>104</v>
      </c>
      <c r="J1727" t="s">
        <v>105</v>
      </c>
      <c r="K1727" t="s">
        <v>204</v>
      </c>
      <c r="L1727" t="s">
        <v>22</v>
      </c>
      <c r="M1727" s="1">
        <v>37348</v>
      </c>
      <c r="N1727">
        <v>2002</v>
      </c>
    </row>
    <row r="1728" spans="1:14">
      <c r="A1728" t="s">
        <v>14</v>
      </c>
      <c r="B1728" t="str">
        <f>"122710200300"</f>
        <v>122710200300</v>
      </c>
      <c r="C1728" t="s">
        <v>1470</v>
      </c>
      <c r="D1728" t="s">
        <v>380</v>
      </c>
      <c r="G1728" t="s">
        <v>32</v>
      </c>
      <c r="H1728" t="s">
        <v>65</v>
      </c>
      <c r="I1728" t="s">
        <v>104</v>
      </c>
      <c r="J1728" t="s">
        <v>105</v>
      </c>
      <c r="K1728" t="s">
        <v>1212</v>
      </c>
      <c r="L1728" t="s">
        <v>22</v>
      </c>
      <c r="M1728" s="1">
        <v>37921</v>
      </c>
      <c r="N1728">
        <v>2003</v>
      </c>
    </row>
    <row r="1729" spans="1:14">
      <c r="A1729" t="s">
        <v>14</v>
      </c>
      <c r="B1729" t="str">
        <f>"120306200301"</f>
        <v>120306200301</v>
      </c>
      <c r="C1729" t="s">
        <v>1491</v>
      </c>
      <c r="D1729" t="s">
        <v>127</v>
      </c>
      <c r="G1729" t="s">
        <v>32</v>
      </c>
      <c r="H1729" t="s">
        <v>65</v>
      </c>
      <c r="I1729" t="s">
        <v>104</v>
      </c>
      <c r="J1729" t="s">
        <v>105</v>
      </c>
      <c r="K1729" t="s">
        <v>905</v>
      </c>
      <c r="L1729" t="s">
        <v>22</v>
      </c>
      <c r="M1729" s="1">
        <v>37775</v>
      </c>
      <c r="N1729">
        <v>2003</v>
      </c>
    </row>
    <row r="1730" spans="1:14">
      <c r="A1730" t="s">
        <v>14</v>
      </c>
      <c r="B1730" t="str">
        <f>"122603200201"</f>
        <v>122603200201</v>
      </c>
      <c r="C1730" t="s">
        <v>1524</v>
      </c>
      <c r="D1730" t="s">
        <v>1120</v>
      </c>
      <c r="G1730" t="s">
        <v>32</v>
      </c>
      <c r="H1730" t="s">
        <v>65</v>
      </c>
      <c r="I1730" t="s">
        <v>104</v>
      </c>
      <c r="J1730" t="s">
        <v>105</v>
      </c>
      <c r="K1730" t="s">
        <v>153</v>
      </c>
      <c r="L1730" t="s">
        <v>22</v>
      </c>
      <c r="M1730" s="1">
        <v>37341</v>
      </c>
      <c r="N1730">
        <v>2002</v>
      </c>
    </row>
    <row r="1731" spans="1:14">
      <c r="A1731" t="s">
        <v>14</v>
      </c>
      <c r="B1731" t="str">
        <f>"122110200300"</f>
        <v>122110200300</v>
      </c>
      <c r="C1731" t="s">
        <v>1595</v>
      </c>
      <c r="D1731" t="s">
        <v>510</v>
      </c>
      <c r="G1731" t="s">
        <v>32</v>
      </c>
      <c r="H1731" t="s">
        <v>65</v>
      </c>
      <c r="I1731" t="s">
        <v>104</v>
      </c>
      <c r="J1731" t="s">
        <v>105</v>
      </c>
      <c r="K1731" t="s">
        <v>153</v>
      </c>
      <c r="L1731" t="s">
        <v>22</v>
      </c>
      <c r="M1731" s="1">
        <v>37915</v>
      </c>
      <c r="N1731">
        <v>2003</v>
      </c>
    </row>
    <row r="1732" spans="1:14">
      <c r="A1732" t="s">
        <v>14</v>
      </c>
      <c r="B1732" t="str">
        <f>"122908200300"</f>
        <v>122908200300</v>
      </c>
      <c r="C1732" t="s">
        <v>1660</v>
      </c>
      <c r="D1732" t="s">
        <v>524</v>
      </c>
      <c r="G1732" t="s">
        <v>32</v>
      </c>
      <c r="H1732" t="s">
        <v>65</v>
      </c>
      <c r="I1732" t="s">
        <v>104</v>
      </c>
      <c r="J1732" t="s">
        <v>105</v>
      </c>
      <c r="K1732" t="s">
        <v>484</v>
      </c>
      <c r="M1732" s="1">
        <v>37862</v>
      </c>
      <c r="N1732">
        <v>2003</v>
      </c>
    </row>
    <row r="1733" spans="1:14">
      <c r="A1733" t="s">
        <v>14</v>
      </c>
      <c r="B1733" t="str">
        <f>"122805200201"</f>
        <v>122805200201</v>
      </c>
      <c r="C1733" t="s">
        <v>1692</v>
      </c>
      <c r="D1733" t="s">
        <v>184</v>
      </c>
      <c r="G1733" t="s">
        <v>32</v>
      </c>
      <c r="H1733" t="s">
        <v>65</v>
      </c>
      <c r="I1733" t="s">
        <v>104</v>
      </c>
      <c r="J1733" t="s">
        <v>105</v>
      </c>
      <c r="K1733" t="s">
        <v>204</v>
      </c>
      <c r="L1733" t="s">
        <v>22</v>
      </c>
      <c r="M1733" s="1">
        <v>37404</v>
      </c>
      <c r="N1733">
        <v>2002</v>
      </c>
    </row>
    <row r="1734" spans="1:14">
      <c r="A1734" t="s">
        <v>14</v>
      </c>
      <c r="B1734" t="str">
        <f>"120505200301"</f>
        <v>120505200301</v>
      </c>
      <c r="C1734" t="s">
        <v>1808</v>
      </c>
      <c r="D1734" t="s">
        <v>232</v>
      </c>
      <c r="G1734" t="s">
        <v>32</v>
      </c>
      <c r="H1734" t="s">
        <v>65</v>
      </c>
      <c r="I1734" t="s">
        <v>104</v>
      </c>
      <c r="J1734" t="s">
        <v>105</v>
      </c>
      <c r="K1734" t="s">
        <v>333</v>
      </c>
      <c r="M1734" s="1">
        <v>37746</v>
      </c>
      <c r="N1734">
        <v>2003</v>
      </c>
    </row>
    <row r="1735" spans="1:14">
      <c r="A1735" t="s">
        <v>14</v>
      </c>
      <c r="B1735" t="str">
        <f>"121405200201"</f>
        <v>121405200201</v>
      </c>
      <c r="C1735" t="s">
        <v>1839</v>
      </c>
      <c r="D1735" t="s">
        <v>194</v>
      </c>
      <c r="G1735" t="s">
        <v>32</v>
      </c>
      <c r="H1735" t="s">
        <v>65</v>
      </c>
      <c r="I1735" t="s">
        <v>104</v>
      </c>
      <c r="J1735" t="s">
        <v>105</v>
      </c>
      <c r="K1735" t="s">
        <v>905</v>
      </c>
      <c r="L1735" t="s">
        <v>22</v>
      </c>
      <c r="M1735" s="1">
        <v>37390</v>
      </c>
      <c r="N1735">
        <v>2002</v>
      </c>
    </row>
    <row r="1736" spans="1:14">
      <c r="A1736" t="s">
        <v>14</v>
      </c>
      <c r="B1736" t="str">
        <f>"120110200300"</f>
        <v>120110200300</v>
      </c>
      <c r="C1736" t="s">
        <v>1869</v>
      </c>
      <c r="D1736" t="s">
        <v>235</v>
      </c>
      <c r="G1736" t="s">
        <v>32</v>
      </c>
      <c r="H1736" t="s">
        <v>65</v>
      </c>
      <c r="I1736" t="s">
        <v>104</v>
      </c>
      <c r="J1736" t="s">
        <v>105</v>
      </c>
      <c r="K1736" t="s">
        <v>481</v>
      </c>
      <c r="L1736" t="s">
        <v>22</v>
      </c>
      <c r="M1736" s="1">
        <v>37895</v>
      </c>
      <c r="N1736">
        <v>2003</v>
      </c>
    </row>
    <row r="1737" spans="1:14">
      <c r="A1737" t="s">
        <v>14</v>
      </c>
      <c r="B1737" t="str">
        <f>"123110200300"</f>
        <v>123110200300</v>
      </c>
      <c r="C1737" t="s">
        <v>1879</v>
      </c>
      <c r="D1737" t="s">
        <v>143</v>
      </c>
      <c r="G1737" t="s">
        <v>32</v>
      </c>
      <c r="H1737" t="s">
        <v>65</v>
      </c>
      <c r="I1737" t="s">
        <v>104</v>
      </c>
      <c r="J1737" t="s">
        <v>105</v>
      </c>
      <c r="K1737" t="s">
        <v>333</v>
      </c>
      <c r="L1737" t="s">
        <v>22</v>
      </c>
      <c r="M1737" s="1">
        <v>37925</v>
      </c>
      <c r="N1737">
        <v>2003</v>
      </c>
    </row>
    <row r="1738" spans="1:14">
      <c r="A1738" t="s">
        <v>14</v>
      </c>
      <c r="B1738" t="str">
        <f>"120408200200"</f>
        <v>120408200200</v>
      </c>
      <c r="C1738" t="s">
        <v>1971</v>
      </c>
      <c r="D1738" t="s">
        <v>127</v>
      </c>
      <c r="G1738" t="s">
        <v>32</v>
      </c>
      <c r="H1738" t="s">
        <v>65</v>
      </c>
      <c r="I1738" t="s">
        <v>104</v>
      </c>
      <c r="J1738" t="s">
        <v>105</v>
      </c>
      <c r="K1738" t="s">
        <v>153</v>
      </c>
      <c r="L1738" t="s">
        <v>22</v>
      </c>
      <c r="M1738" s="1">
        <v>37472</v>
      </c>
      <c r="N1738">
        <v>2002</v>
      </c>
    </row>
    <row r="1739" spans="1:14">
      <c r="A1739" t="s">
        <v>14</v>
      </c>
      <c r="B1739" t="str">
        <f>"122907200200"</f>
        <v>122907200200</v>
      </c>
      <c r="C1739" t="s">
        <v>2046</v>
      </c>
      <c r="D1739" t="s">
        <v>233</v>
      </c>
      <c r="G1739" t="s">
        <v>32</v>
      </c>
      <c r="H1739" t="s">
        <v>65</v>
      </c>
      <c r="I1739" t="s">
        <v>104</v>
      </c>
      <c r="J1739" t="s">
        <v>105</v>
      </c>
      <c r="K1739" t="s">
        <v>153</v>
      </c>
      <c r="L1739" t="s">
        <v>22</v>
      </c>
      <c r="M1739" s="1">
        <v>37466</v>
      </c>
      <c r="N1739">
        <v>2002</v>
      </c>
    </row>
    <row r="1740" spans="1:14">
      <c r="A1740" t="s">
        <v>14</v>
      </c>
      <c r="B1740" t="str">
        <f>"121503200300"</f>
        <v>121503200300</v>
      </c>
      <c r="C1740" t="s">
        <v>2196</v>
      </c>
      <c r="D1740" t="s">
        <v>1005</v>
      </c>
      <c r="G1740" t="s">
        <v>32</v>
      </c>
      <c r="H1740" t="s">
        <v>65</v>
      </c>
      <c r="I1740" t="s">
        <v>104</v>
      </c>
      <c r="J1740" t="s">
        <v>105</v>
      </c>
      <c r="K1740" t="s">
        <v>792</v>
      </c>
      <c r="L1740" t="s">
        <v>22</v>
      </c>
      <c r="M1740" s="1">
        <v>37695</v>
      </c>
      <c r="N1740">
        <v>2003</v>
      </c>
    </row>
    <row r="1741" spans="1:14">
      <c r="A1741" t="s">
        <v>14</v>
      </c>
      <c r="B1741" t="str">
        <f>"122002200300"</f>
        <v>122002200300</v>
      </c>
      <c r="C1741" t="s">
        <v>2291</v>
      </c>
      <c r="D1741" t="s">
        <v>194</v>
      </c>
      <c r="G1741" t="s">
        <v>32</v>
      </c>
      <c r="H1741" t="s">
        <v>65</v>
      </c>
      <c r="I1741" t="s">
        <v>104</v>
      </c>
      <c r="J1741" t="s">
        <v>105</v>
      </c>
      <c r="K1741" t="s">
        <v>106</v>
      </c>
      <c r="L1741" t="s">
        <v>63</v>
      </c>
      <c r="M1741" s="1">
        <v>37672</v>
      </c>
      <c r="N1741">
        <v>2003</v>
      </c>
    </row>
    <row r="1742" spans="1:14">
      <c r="A1742" t="s">
        <v>14</v>
      </c>
      <c r="B1742" t="str">
        <f>"122312200301"</f>
        <v>122312200301</v>
      </c>
      <c r="C1742" t="s">
        <v>2394</v>
      </c>
      <c r="D1742" t="s">
        <v>1304</v>
      </c>
      <c r="G1742" t="s">
        <v>32</v>
      </c>
      <c r="H1742" t="s">
        <v>65</v>
      </c>
      <c r="I1742" t="s">
        <v>104</v>
      </c>
      <c r="J1742" t="s">
        <v>105</v>
      </c>
      <c r="K1742" t="s">
        <v>1212</v>
      </c>
      <c r="L1742" t="s">
        <v>63</v>
      </c>
      <c r="M1742" s="1">
        <v>37978</v>
      </c>
      <c r="N1742">
        <v>2003</v>
      </c>
    </row>
    <row r="1743" spans="1:14">
      <c r="A1743" t="s">
        <v>14</v>
      </c>
      <c r="B1743" t="str">
        <f>"122005200202"</f>
        <v>122005200202</v>
      </c>
      <c r="C1743" t="s">
        <v>2425</v>
      </c>
      <c r="D1743" t="s">
        <v>127</v>
      </c>
      <c r="G1743" t="s">
        <v>32</v>
      </c>
      <c r="H1743" t="s">
        <v>65</v>
      </c>
      <c r="I1743" t="s">
        <v>104</v>
      </c>
      <c r="J1743" t="s">
        <v>105</v>
      </c>
      <c r="K1743" t="s">
        <v>792</v>
      </c>
      <c r="L1743" t="s">
        <v>63</v>
      </c>
      <c r="M1743" s="1">
        <v>37396</v>
      </c>
      <c r="N1743">
        <v>2002</v>
      </c>
    </row>
    <row r="1744" spans="1:14">
      <c r="A1744" t="s">
        <v>14</v>
      </c>
      <c r="B1744" t="str">
        <f>"123110200200"</f>
        <v>123110200200</v>
      </c>
      <c r="C1744" t="s">
        <v>2435</v>
      </c>
      <c r="D1744" t="s">
        <v>310</v>
      </c>
      <c r="G1744" t="s">
        <v>32</v>
      </c>
      <c r="H1744" t="s">
        <v>65</v>
      </c>
      <c r="I1744" t="s">
        <v>104</v>
      </c>
      <c r="J1744" t="s">
        <v>105</v>
      </c>
      <c r="K1744" t="s">
        <v>295</v>
      </c>
      <c r="L1744" t="s">
        <v>63</v>
      </c>
      <c r="M1744" s="1">
        <v>37560</v>
      </c>
      <c r="N1744">
        <v>2002</v>
      </c>
    </row>
    <row r="1745" spans="1:14">
      <c r="A1745" t="s">
        <v>14</v>
      </c>
      <c r="B1745" t="str">
        <f>"120404200200"</f>
        <v>120404200200</v>
      </c>
      <c r="C1745" t="s">
        <v>2518</v>
      </c>
      <c r="D1745" t="s">
        <v>127</v>
      </c>
      <c r="G1745" t="s">
        <v>32</v>
      </c>
      <c r="H1745" t="s">
        <v>65</v>
      </c>
      <c r="I1745" t="s">
        <v>104</v>
      </c>
      <c r="J1745" t="s">
        <v>105</v>
      </c>
      <c r="K1745" t="s">
        <v>106</v>
      </c>
      <c r="L1745" t="s">
        <v>22</v>
      </c>
      <c r="M1745" s="1">
        <v>37350</v>
      </c>
      <c r="N1745">
        <v>2002</v>
      </c>
    </row>
    <row r="1746" spans="1:14">
      <c r="A1746" t="s">
        <v>14</v>
      </c>
      <c r="B1746" t="str">
        <f>"122307200300"</f>
        <v>122307200300</v>
      </c>
      <c r="C1746" t="s">
        <v>2545</v>
      </c>
      <c r="D1746" t="s">
        <v>493</v>
      </c>
      <c r="G1746" t="s">
        <v>32</v>
      </c>
      <c r="H1746" t="s">
        <v>65</v>
      </c>
      <c r="I1746" t="s">
        <v>104</v>
      </c>
      <c r="J1746" t="s">
        <v>105</v>
      </c>
      <c r="K1746" t="s">
        <v>905</v>
      </c>
      <c r="L1746" t="s">
        <v>22</v>
      </c>
      <c r="M1746" s="1">
        <v>37825</v>
      </c>
      <c r="N1746">
        <v>2003</v>
      </c>
    </row>
    <row r="1747" spans="1:14">
      <c r="A1747" t="s">
        <v>14</v>
      </c>
      <c r="B1747" t="str">
        <f>"121210200201"</f>
        <v>121210200201</v>
      </c>
      <c r="C1747" t="s">
        <v>2767</v>
      </c>
      <c r="D1747" t="s">
        <v>232</v>
      </c>
      <c r="G1747" t="s">
        <v>32</v>
      </c>
      <c r="H1747" t="s">
        <v>65</v>
      </c>
      <c r="I1747" t="s">
        <v>104</v>
      </c>
      <c r="J1747" t="s">
        <v>105</v>
      </c>
      <c r="K1747" t="s">
        <v>153</v>
      </c>
      <c r="L1747" t="s">
        <v>22</v>
      </c>
      <c r="M1747" s="1">
        <v>37541</v>
      </c>
      <c r="N1747">
        <v>2002</v>
      </c>
    </row>
    <row r="1748" spans="1:14">
      <c r="A1748" t="s">
        <v>14</v>
      </c>
      <c r="B1748" t="str">
        <f>"121709200301"</f>
        <v>121709200301</v>
      </c>
      <c r="C1748" t="s">
        <v>2781</v>
      </c>
      <c r="D1748" t="s">
        <v>169</v>
      </c>
      <c r="G1748" t="s">
        <v>32</v>
      </c>
      <c r="H1748" t="s">
        <v>65</v>
      </c>
      <c r="I1748" t="s">
        <v>104</v>
      </c>
      <c r="J1748" t="s">
        <v>105</v>
      </c>
      <c r="K1748" t="s">
        <v>905</v>
      </c>
      <c r="L1748" t="s">
        <v>22</v>
      </c>
      <c r="M1748" s="1">
        <v>37881</v>
      </c>
      <c r="N1748">
        <v>2003</v>
      </c>
    </row>
    <row r="1749" spans="1:14">
      <c r="A1749" t="s">
        <v>14</v>
      </c>
      <c r="B1749" t="str">
        <f>"122204200300"</f>
        <v>122204200300</v>
      </c>
      <c r="C1749" t="s">
        <v>2870</v>
      </c>
      <c r="D1749" t="s">
        <v>385</v>
      </c>
      <c r="G1749" t="s">
        <v>32</v>
      </c>
      <c r="H1749" t="s">
        <v>65</v>
      </c>
      <c r="I1749" t="s">
        <v>104</v>
      </c>
      <c r="J1749" t="s">
        <v>105</v>
      </c>
      <c r="K1749" t="s">
        <v>792</v>
      </c>
      <c r="L1749" t="s">
        <v>63</v>
      </c>
      <c r="M1749" s="1">
        <v>37733</v>
      </c>
      <c r="N1749">
        <v>2003</v>
      </c>
    </row>
    <row r="1750" spans="1:14">
      <c r="A1750" t="s">
        <v>14</v>
      </c>
      <c r="B1750" t="str">
        <f>"121307200300"</f>
        <v>121307200300</v>
      </c>
      <c r="C1750" t="s">
        <v>2893</v>
      </c>
      <c r="D1750" t="s">
        <v>58</v>
      </c>
      <c r="G1750" t="s">
        <v>32</v>
      </c>
      <c r="H1750" t="s">
        <v>65</v>
      </c>
      <c r="I1750" t="s">
        <v>104</v>
      </c>
      <c r="J1750" t="s">
        <v>105</v>
      </c>
      <c r="K1750" t="s">
        <v>1212</v>
      </c>
      <c r="L1750" t="s">
        <v>63</v>
      </c>
      <c r="M1750" s="1">
        <v>37815</v>
      </c>
      <c r="N1750">
        <v>2003</v>
      </c>
    </row>
    <row r="1751" spans="1:14">
      <c r="A1751" t="s">
        <v>14</v>
      </c>
      <c r="B1751" t="str">
        <f>"123003199800"</f>
        <v>123003199800</v>
      </c>
      <c r="C1751" t="s">
        <v>415</v>
      </c>
      <c r="D1751" t="s">
        <v>127</v>
      </c>
      <c r="G1751" t="s">
        <v>32</v>
      </c>
      <c r="H1751" t="s">
        <v>59</v>
      </c>
      <c r="I1751" t="s">
        <v>104</v>
      </c>
      <c r="J1751" t="s">
        <v>105</v>
      </c>
      <c r="K1751" t="s">
        <v>106</v>
      </c>
      <c r="L1751" t="s">
        <v>63</v>
      </c>
      <c r="M1751" s="1">
        <v>35884</v>
      </c>
      <c r="N1751">
        <v>1998</v>
      </c>
    </row>
    <row r="1752" spans="1:14">
      <c r="A1752" t="s">
        <v>14</v>
      </c>
      <c r="B1752" t="str">
        <f>"122907199800"</f>
        <v>122907199800</v>
      </c>
      <c r="C1752" t="s">
        <v>457</v>
      </c>
      <c r="D1752" t="s">
        <v>234</v>
      </c>
      <c r="G1752" t="s">
        <v>32</v>
      </c>
      <c r="H1752" t="s">
        <v>59</v>
      </c>
      <c r="I1752" t="s">
        <v>104</v>
      </c>
      <c r="J1752" t="s">
        <v>105</v>
      </c>
      <c r="K1752" t="s">
        <v>458</v>
      </c>
      <c r="L1752" t="s">
        <v>63</v>
      </c>
      <c r="M1752" s="1">
        <v>36005</v>
      </c>
      <c r="N1752">
        <v>1998</v>
      </c>
    </row>
    <row r="1753" spans="1:14">
      <c r="A1753" t="s">
        <v>14</v>
      </c>
      <c r="B1753" t="str">
        <f>"122104199803"</f>
        <v>122104199803</v>
      </c>
      <c r="C1753" t="s">
        <v>1526</v>
      </c>
      <c r="D1753" t="s">
        <v>58</v>
      </c>
      <c r="G1753" t="s">
        <v>32</v>
      </c>
      <c r="H1753" t="s">
        <v>59</v>
      </c>
      <c r="I1753" t="s">
        <v>104</v>
      </c>
      <c r="J1753" t="s">
        <v>105</v>
      </c>
      <c r="K1753" t="s">
        <v>295</v>
      </c>
      <c r="L1753" t="s">
        <v>22</v>
      </c>
      <c r="M1753" s="1">
        <v>35906</v>
      </c>
      <c r="N1753">
        <v>1998</v>
      </c>
    </row>
    <row r="1754" spans="1:14">
      <c r="A1754" t="s">
        <v>14</v>
      </c>
      <c r="B1754" t="str">
        <f>"120605199700"</f>
        <v>120605199700</v>
      </c>
      <c r="C1754" t="s">
        <v>1856</v>
      </c>
      <c r="D1754" t="s">
        <v>234</v>
      </c>
      <c r="G1754" t="s">
        <v>32</v>
      </c>
      <c r="H1754" t="s">
        <v>59</v>
      </c>
      <c r="I1754" t="s">
        <v>104</v>
      </c>
      <c r="J1754" t="s">
        <v>105</v>
      </c>
      <c r="K1754" t="s">
        <v>307</v>
      </c>
      <c r="L1754" t="s">
        <v>48</v>
      </c>
      <c r="M1754" s="1">
        <v>35556</v>
      </c>
      <c r="N1754">
        <v>1997</v>
      </c>
    </row>
    <row r="1755" spans="1:14">
      <c r="A1755" t="s">
        <v>14</v>
      </c>
      <c r="B1755" t="str">
        <f>"122002199600"</f>
        <v>122002199600</v>
      </c>
      <c r="C1755" t="s">
        <v>2024</v>
      </c>
      <c r="D1755" t="s">
        <v>238</v>
      </c>
      <c r="G1755" t="s">
        <v>32</v>
      </c>
      <c r="H1755" t="s">
        <v>59</v>
      </c>
      <c r="I1755" t="s">
        <v>104</v>
      </c>
      <c r="J1755" t="s">
        <v>105</v>
      </c>
      <c r="K1755" t="s">
        <v>204</v>
      </c>
      <c r="L1755" t="s">
        <v>48</v>
      </c>
      <c r="M1755" s="1">
        <v>35115</v>
      </c>
      <c r="N1755">
        <v>1996</v>
      </c>
    </row>
    <row r="1756" spans="1:14">
      <c r="A1756" t="s">
        <v>14</v>
      </c>
      <c r="B1756" t="str">
        <f>"122904199000"</f>
        <v>122904199000</v>
      </c>
      <c r="C1756" t="s">
        <v>2123</v>
      </c>
      <c r="D1756" t="s">
        <v>203</v>
      </c>
      <c r="G1756" t="s">
        <v>32</v>
      </c>
      <c r="H1756" t="s">
        <v>59</v>
      </c>
      <c r="I1756" t="s">
        <v>104</v>
      </c>
      <c r="J1756" t="s">
        <v>105</v>
      </c>
      <c r="K1756" t="s">
        <v>472</v>
      </c>
      <c r="L1756" t="s">
        <v>63</v>
      </c>
      <c r="M1756" s="1">
        <v>32992</v>
      </c>
      <c r="N1756">
        <v>1990</v>
      </c>
    </row>
    <row r="1757" spans="1:14">
      <c r="A1757" t="s">
        <v>14</v>
      </c>
      <c r="B1757" t="str">
        <f>"120511199700"</f>
        <v>120511199700</v>
      </c>
      <c r="C1757" t="s">
        <v>2194</v>
      </c>
      <c r="D1757" t="s">
        <v>205</v>
      </c>
      <c r="G1757" t="s">
        <v>32</v>
      </c>
      <c r="H1757" t="s">
        <v>59</v>
      </c>
      <c r="I1757" t="s">
        <v>104</v>
      </c>
      <c r="J1757" t="s">
        <v>105</v>
      </c>
      <c r="K1757" t="s">
        <v>204</v>
      </c>
      <c r="L1757" t="s">
        <v>48</v>
      </c>
      <c r="M1757" s="1">
        <v>35739</v>
      </c>
      <c r="N1757">
        <v>1997</v>
      </c>
    </row>
    <row r="1758" spans="1:14">
      <c r="A1758" t="s">
        <v>14</v>
      </c>
      <c r="B1758" t="str">
        <f>"122605199600"</f>
        <v>122605199600</v>
      </c>
      <c r="C1758" t="s">
        <v>2511</v>
      </c>
      <c r="D1758" t="s">
        <v>279</v>
      </c>
      <c r="G1758" t="s">
        <v>32</v>
      </c>
      <c r="H1758" t="s">
        <v>59</v>
      </c>
      <c r="I1758" t="s">
        <v>104</v>
      </c>
      <c r="J1758" t="s">
        <v>105</v>
      </c>
      <c r="K1758" t="s">
        <v>2512</v>
      </c>
      <c r="L1758" t="s">
        <v>48</v>
      </c>
      <c r="M1758" s="1">
        <v>35211</v>
      </c>
      <c r="N1758">
        <v>1996</v>
      </c>
    </row>
    <row r="1759" spans="1:14">
      <c r="A1759" t="s">
        <v>14</v>
      </c>
      <c r="B1759" t="str">
        <f>"120110199800"</f>
        <v>120110199800</v>
      </c>
      <c r="C1759" t="s">
        <v>2856</v>
      </c>
      <c r="D1759" t="s">
        <v>203</v>
      </c>
      <c r="G1759" t="s">
        <v>32</v>
      </c>
      <c r="H1759" t="s">
        <v>59</v>
      </c>
      <c r="I1759" t="s">
        <v>104</v>
      </c>
      <c r="J1759" t="s">
        <v>105</v>
      </c>
      <c r="K1759" t="s">
        <v>106</v>
      </c>
      <c r="L1759" t="s">
        <v>63</v>
      </c>
      <c r="M1759" s="1">
        <v>36069</v>
      </c>
      <c r="N1759">
        <v>1998</v>
      </c>
    </row>
    <row r="1760" spans="1:14">
      <c r="A1760" t="s">
        <v>14</v>
      </c>
      <c r="B1760" t="str">
        <f>"122302198500"</f>
        <v>122302198500</v>
      </c>
      <c r="C1760" t="s">
        <v>2919</v>
      </c>
      <c r="D1760" t="s">
        <v>58</v>
      </c>
      <c r="G1760" t="s">
        <v>32</v>
      </c>
      <c r="H1760" t="s">
        <v>59</v>
      </c>
      <c r="I1760" t="s">
        <v>104</v>
      </c>
      <c r="J1760" t="s">
        <v>105</v>
      </c>
      <c r="K1760" t="s">
        <v>2920</v>
      </c>
      <c r="L1760" t="s">
        <v>340</v>
      </c>
      <c r="M1760" s="1">
        <v>31101</v>
      </c>
      <c r="N1760">
        <v>1985</v>
      </c>
    </row>
    <row r="1761" spans="1:14">
      <c r="A1761" t="s">
        <v>14</v>
      </c>
      <c r="B1761" t="str">
        <f>"122804200100"</f>
        <v>122804200100</v>
      </c>
      <c r="C1761" t="s">
        <v>151</v>
      </c>
      <c r="D1761" t="s">
        <v>152</v>
      </c>
      <c r="G1761" t="s">
        <v>32</v>
      </c>
      <c r="H1761" t="s">
        <v>44</v>
      </c>
      <c r="I1761" t="s">
        <v>104</v>
      </c>
      <c r="J1761" t="s">
        <v>105</v>
      </c>
      <c r="K1761" t="s">
        <v>153</v>
      </c>
      <c r="L1761" t="s">
        <v>22</v>
      </c>
      <c r="M1761" s="1">
        <v>37009</v>
      </c>
      <c r="N1761">
        <v>2001</v>
      </c>
    </row>
    <row r="1762" spans="1:14">
      <c r="A1762" t="s">
        <v>14</v>
      </c>
      <c r="B1762" t="str">
        <f>"122203199900"</f>
        <v>122203199900</v>
      </c>
      <c r="C1762" t="s">
        <v>193</v>
      </c>
      <c r="D1762" t="s">
        <v>203</v>
      </c>
      <c r="G1762" t="s">
        <v>32</v>
      </c>
      <c r="H1762" t="s">
        <v>44</v>
      </c>
      <c r="I1762" t="s">
        <v>104</v>
      </c>
      <c r="J1762" t="s">
        <v>105</v>
      </c>
      <c r="K1762" t="s">
        <v>204</v>
      </c>
      <c r="L1762" t="s">
        <v>22</v>
      </c>
      <c r="M1762" s="1">
        <v>36241</v>
      </c>
      <c r="N1762">
        <v>1999</v>
      </c>
    </row>
    <row r="1763" spans="1:14">
      <c r="A1763" t="s">
        <v>14</v>
      </c>
      <c r="B1763" t="str">
        <f>"122407200102"</f>
        <v>122407200102</v>
      </c>
      <c r="C1763" t="s">
        <v>518</v>
      </c>
      <c r="D1763" t="s">
        <v>238</v>
      </c>
      <c r="G1763" t="s">
        <v>32</v>
      </c>
      <c r="H1763" t="s">
        <v>44</v>
      </c>
      <c r="I1763" t="s">
        <v>104</v>
      </c>
      <c r="J1763" t="s">
        <v>105</v>
      </c>
      <c r="K1763" t="s">
        <v>153</v>
      </c>
      <c r="L1763" t="s">
        <v>22</v>
      </c>
      <c r="M1763" s="1">
        <v>37096</v>
      </c>
      <c r="N1763">
        <v>2001</v>
      </c>
    </row>
    <row r="1764" spans="1:14">
      <c r="A1764" t="s">
        <v>14</v>
      </c>
      <c r="B1764" t="str">
        <f>"120608200000"</f>
        <v>120608200000</v>
      </c>
      <c r="C1764" t="s">
        <v>691</v>
      </c>
      <c r="D1764" t="s">
        <v>233</v>
      </c>
      <c r="G1764" t="s">
        <v>32</v>
      </c>
      <c r="H1764" t="s">
        <v>44</v>
      </c>
      <c r="I1764" t="s">
        <v>104</v>
      </c>
      <c r="J1764" t="s">
        <v>105</v>
      </c>
      <c r="K1764" t="s">
        <v>153</v>
      </c>
      <c r="L1764" t="s">
        <v>22</v>
      </c>
      <c r="M1764" s="1">
        <v>36744</v>
      </c>
      <c r="N1764">
        <v>2000</v>
      </c>
    </row>
    <row r="1765" spans="1:14">
      <c r="A1765" t="s">
        <v>14</v>
      </c>
      <c r="B1765" t="str">
        <f>"122612200100"</f>
        <v>122612200100</v>
      </c>
      <c r="C1765" t="s">
        <v>1059</v>
      </c>
      <c r="D1765" t="s">
        <v>420</v>
      </c>
      <c r="G1765" t="s">
        <v>32</v>
      </c>
      <c r="H1765" t="s">
        <v>44</v>
      </c>
      <c r="I1765" t="s">
        <v>104</v>
      </c>
      <c r="J1765" t="s">
        <v>105</v>
      </c>
      <c r="K1765" t="s">
        <v>106</v>
      </c>
      <c r="L1765" t="s">
        <v>22</v>
      </c>
      <c r="M1765" s="1">
        <v>37251</v>
      </c>
      <c r="N1765">
        <v>2001</v>
      </c>
    </row>
    <row r="1766" spans="1:14">
      <c r="A1766" t="s">
        <v>14</v>
      </c>
      <c r="B1766" t="str">
        <f>"122703199900"</f>
        <v>122703199900</v>
      </c>
      <c r="C1766" t="s">
        <v>1107</v>
      </c>
      <c r="D1766" t="s">
        <v>723</v>
      </c>
      <c r="G1766" t="s">
        <v>32</v>
      </c>
      <c r="H1766" t="s">
        <v>44</v>
      </c>
      <c r="I1766" t="s">
        <v>104</v>
      </c>
      <c r="J1766" t="s">
        <v>105</v>
      </c>
      <c r="K1766" t="s">
        <v>204</v>
      </c>
      <c r="L1766" t="s">
        <v>48</v>
      </c>
      <c r="M1766" s="1">
        <v>36246</v>
      </c>
      <c r="N1766">
        <v>1999</v>
      </c>
    </row>
    <row r="1767" spans="1:14">
      <c r="A1767" t="s">
        <v>14</v>
      </c>
      <c r="B1767" t="str">
        <f>"122711200000"</f>
        <v>122711200000</v>
      </c>
      <c r="C1767" t="s">
        <v>1123</v>
      </c>
      <c r="D1767" t="s">
        <v>127</v>
      </c>
      <c r="G1767" t="s">
        <v>32</v>
      </c>
      <c r="H1767" t="s">
        <v>44</v>
      </c>
      <c r="I1767" t="s">
        <v>104</v>
      </c>
      <c r="J1767" t="s">
        <v>105</v>
      </c>
      <c r="K1767" t="s">
        <v>204</v>
      </c>
      <c r="L1767" t="s">
        <v>63</v>
      </c>
      <c r="M1767" s="1">
        <v>36857</v>
      </c>
      <c r="N1767">
        <v>2000</v>
      </c>
    </row>
    <row r="1768" spans="1:14">
      <c r="A1768" t="s">
        <v>14</v>
      </c>
      <c r="B1768" t="str">
        <f>"121110199900"</f>
        <v>121110199900</v>
      </c>
      <c r="C1768" t="s">
        <v>1149</v>
      </c>
      <c r="D1768" t="s">
        <v>232</v>
      </c>
      <c r="G1768" t="s">
        <v>32</v>
      </c>
      <c r="H1768" t="s">
        <v>44</v>
      </c>
      <c r="I1768" t="s">
        <v>104</v>
      </c>
      <c r="J1768" t="s">
        <v>105</v>
      </c>
      <c r="K1768" t="s">
        <v>204</v>
      </c>
      <c r="L1768" t="s">
        <v>63</v>
      </c>
      <c r="M1768" s="1">
        <v>36444</v>
      </c>
      <c r="N1768">
        <v>1999</v>
      </c>
    </row>
    <row r="1769" spans="1:14">
      <c r="A1769" t="s">
        <v>14</v>
      </c>
      <c r="B1769" t="str">
        <f>"120509200002"</f>
        <v>120509200002</v>
      </c>
      <c r="C1769" t="s">
        <v>1344</v>
      </c>
      <c r="D1769" t="s">
        <v>31</v>
      </c>
      <c r="G1769" t="s">
        <v>32</v>
      </c>
      <c r="H1769" t="s">
        <v>44</v>
      </c>
      <c r="I1769" t="s">
        <v>104</v>
      </c>
      <c r="J1769" t="s">
        <v>105</v>
      </c>
      <c r="K1769" t="s">
        <v>204</v>
      </c>
      <c r="L1769" t="s">
        <v>22</v>
      </c>
      <c r="M1769" s="1">
        <v>36774</v>
      </c>
      <c r="N1769">
        <v>2000</v>
      </c>
    </row>
    <row r="1770" spans="1:14">
      <c r="A1770" t="s">
        <v>14</v>
      </c>
      <c r="B1770" t="str">
        <f>"122002200100"</f>
        <v>122002200100</v>
      </c>
      <c r="C1770" t="s">
        <v>1483</v>
      </c>
      <c r="D1770" t="s">
        <v>235</v>
      </c>
      <c r="G1770" t="s">
        <v>32</v>
      </c>
      <c r="H1770" t="s">
        <v>44</v>
      </c>
      <c r="I1770" t="s">
        <v>104</v>
      </c>
      <c r="J1770" t="s">
        <v>105</v>
      </c>
      <c r="K1770" t="s">
        <v>106</v>
      </c>
      <c r="L1770" t="s">
        <v>63</v>
      </c>
      <c r="M1770" s="1">
        <v>36942</v>
      </c>
      <c r="N1770">
        <v>2001</v>
      </c>
    </row>
    <row r="1771" spans="1:14">
      <c r="A1771" t="s">
        <v>14</v>
      </c>
      <c r="B1771" t="str">
        <f>"122705200100"</f>
        <v>122705200100</v>
      </c>
      <c r="C1771" t="s">
        <v>1617</v>
      </c>
      <c r="D1771" t="s">
        <v>64</v>
      </c>
      <c r="G1771" t="s">
        <v>32</v>
      </c>
      <c r="H1771" t="s">
        <v>44</v>
      </c>
      <c r="I1771" t="s">
        <v>104</v>
      </c>
      <c r="J1771" t="s">
        <v>105</v>
      </c>
      <c r="K1771" t="s">
        <v>204</v>
      </c>
      <c r="L1771" t="s">
        <v>63</v>
      </c>
      <c r="M1771" s="1">
        <v>37038</v>
      </c>
      <c r="N1771">
        <v>2001</v>
      </c>
    </row>
    <row r="1772" spans="1:14">
      <c r="A1772" t="s">
        <v>14</v>
      </c>
      <c r="B1772" t="str">
        <f>"122004200100"</f>
        <v>122004200100</v>
      </c>
      <c r="C1772" t="s">
        <v>1743</v>
      </c>
      <c r="D1772" t="s">
        <v>233</v>
      </c>
      <c r="G1772" t="s">
        <v>32</v>
      </c>
      <c r="H1772" t="s">
        <v>44</v>
      </c>
      <c r="I1772" t="s">
        <v>104</v>
      </c>
      <c r="J1772" t="s">
        <v>105</v>
      </c>
      <c r="K1772" t="s">
        <v>330</v>
      </c>
      <c r="L1772" t="s">
        <v>63</v>
      </c>
      <c r="M1772" s="1">
        <v>37001</v>
      </c>
      <c r="N1772">
        <v>2001</v>
      </c>
    </row>
    <row r="1773" spans="1:14">
      <c r="A1773" t="s">
        <v>14</v>
      </c>
      <c r="B1773" t="str">
        <f>"120709200001"</f>
        <v>120709200001</v>
      </c>
      <c r="C1773" t="s">
        <v>1834</v>
      </c>
      <c r="D1773" t="s">
        <v>744</v>
      </c>
      <c r="G1773" t="s">
        <v>32</v>
      </c>
      <c r="H1773" t="s">
        <v>44</v>
      </c>
      <c r="I1773" t="s">
        <v>104</v>
      </c>
      <c r="J1773" t="s">
        <v>105</v>
      </c>
      <c r="K1773" t="s">
        <v>204</v>
      </c>
      <c r="L1773" t="s">
        <v>22</v>
      </c>
      <c r="M1773" s="1">
        <v>36776</v>
      </c>
      <c r="N1773">
        <v>2000</v>
      </c>
    </row>
    <row r="1774" spans="1:14">
      <c r="A1774" t="s">
        <v>14</v>
      </c>
      <c r="B1774" t="str">
        <f>"122305200101"</f>
        <v>122305200101</v>
      </c>
      <c r="C1774" t="s">
        <v>2015</v>
      </c>
      <c r="D1774" t="s">
        <v>127</v>
      </c>
      <c r="G1774" t="s">
        <v>32</v>
      </c>
      <c r="H1774" t="s">
        <v>44</v>
      </c>
      <c r="I1774" t="s">
        <v>104</v>
      </c>
      <c r="J1774" t="s">
        <v>105</v>
      </c>
      <c r="K1774" t="s">
        <v>106</v>
      </c>
      <c r="L1774" t="s">
        <v>22</v>
      </c>
      <c r="M1774" s="1">
        <v>37034</v>
      </c>
      <c r="N1774">
        <v>2001</v>
      </c>
    </row>
    <row r="1775" spans="1:14">
      <c r="A1775" t="s">
        <v>14</v>
      </c>
      <c r="B1775" t="str">
        <f>"123105200000"</f>
        <v>123105200000</v>
      </c>
      <c r="C1775" t="s">
        <v>2077</v>
      </c>
      <c r="D1775" t="s">
        <v>127</v>
      </c>
      <c r="G1775" t="s">
        <v>32</v>
      </c>
      <c r="H1775" t="s">
        <v>44</v>
      </c>
      <c r="I1775" t="s">
        <v>104</v>
      </c>
      <c r="J1775" t="s">
        <v>105</v>
      </c>
      <c r="K1775" t="s">
        <v>204</v>
      </c>
      <c r="L1775" t="s">
        <v>63</v>
      </c>
      <c r="M1775" s="1">
        <v>36677</v>
      </c>
      <c r="N1775">
        <v>2000</v>
      </c>
    </row>
    <row r="1776" spans="1:14">
      <c r="A1776" t="s">
        <v>14</v>
      </c>
      <c r="B1776" t="str">
        <f>"120105200100"</f>
        <v>120105200100</v>
      </c>
      <c r="C1776" t="s">
        <v>2116</v>
      </c>
      <c r="D1776" t="s">
        <v>232</v>
      </c>
      <c r="G1776" t="s">
        <v>32</v>
      </c>
      <c r="H1776" t="s">
        <v>44</v>
      </c>
      <c r="I1776" t="s">
        <v>104</v>
      </c>
      <c r="J1776" t="s">
        <v>105</v>
      </c>
      <c r="K1776" t="s">
        <v>106</v>
      </c>
      <c r="L1776" t="s">
        <v>63</v>
      </c>
      <c r="M1776" s="1">
        <v>37012</v>
      </c>
      <c r="N1776">
        <v>2001</v>
      </c>
    </row>
    <row r="1777" spans="1:14">
      <c r="A1777" t="s">
        <v>14</v>
      </c>
      <c r="B1777" t="str">
        <f>"122702200000"</f>
        <v>122702200000</v>
      </c>
      <c r="C1777" t="s">
        <v>2232</v>
      </c>
      <c r="D1777" t="s">
        <v>279</v>
      </c>
      <c r="G1777" t="s">
        <v>32</v>
      </c>
      <c r="H1777" t="s">
        <v>44</v>
      </c>
      <c r="I1777" t="s">
        <v>104</v>
      </c>
      <c r="J1777" t="s">
        <v>105</v>
      </c>
      <c r="K1777" t="s">
        <v>330</v>
      </c>
      <c r="L1777" t="s">
        <v>63</v>
      </c>
      <c r="M1777" s="1">
        <v>36583</v>
      </c>
      <c r="N1777">
        <v>2000</v>
      </c>
    </row>
    <row r="1778" spans="1:14">
      <c r="A1778" t="s">
        <v>14</v>
      </c>
      <c r="B1778" t="str">
        <f>"120610199900"</f>
        <v>120610199900</v>
      </c>
      <c r="C1778" t="s">
        <v>2258</v>
      </c>
      <c r="D1778" t="s">
        <v>233</v>
      </c>
      <c r="G1778" t="s">
        <v>32</v>
      </c>
      <c r="H1778" t="s">
        <v>44</v>
      </c>
      <c r="I1778" t="s">
        <v>104</v>
      </c>
      <c r="J1778" t="s">
        <v>105</v>
      </c>
      <c r="K1778" t="s">
        <v>106</v>
      </c>
      <c r="L1778" t="s">
        <v>63</v>
      </c>
      <c r="M1778" s="1">
        <v>36439</v>
      </c>
      <c r="N1778">
        <v>1999</v>
      </c>
    </row>
    <row r="1779" spans="1:14">
      <c r="A1779" t="s">
        <v>14</v>
      </c>
      <c r="B1779" t="str">
        <f>"122508200100"</f>
        <v>122508200100</v>
      </c>
      <c r="C1779" t="s">
        <v>2411</v>
      </c>
      <c r="D1779" t="s">
        <v>194</v>
      </c>
      <c r="G1779" t="s">
        <v>32</v>
      </c>
      <c r="H1779" t="s">
        <v>44</v>
      </c>
      <c r="I1779" t="s">
        <v>104</v>
      </c>
      <c r="J1779" t="s">
        <v>105</v>
      </c>
      <c r="K1779" t="s">
        <v>153</v>
      </c>
      <c r="L1779" t="s">
        <v>22</v>
      </c>
      <c r="M1779" s="1">
        <v>37128</v>
      </c>
      <c r="N1779">
        <v>2001</v>
      </c>
    </row>
    <row r="1780" spans="1:14">
      <c r="A1780" t="s">
        <v>14</v>
      </c>
      <c r="B1780" t="str">
        <f>"121610200000"</f>
        <v>121610200000</v>
      </c>
      <c r="C1780" t="s">
        <v>2448</v>
      </c>
      <c r="D1780" t="s">
        <v>64</v>
      </c>
      <c r="G1780" t="s">
        <v>32</v>
      </c>
      <c r="H1780" t="s">
        <v>44</v>
      </c>
      <c r="I1780" t="s">
        <v>104</v>
      </c>
      <c r="J1780" t="s">
        <v>105</v>
      </c>
      <c r="K1780" t="s">
        <v>106</v>
      </c>
      <c r="L1780" t="s">
        <v>48</v>
      </c>
      <c r="M1780" s="1">
        <v>36815</v>
      </c>
      <c r="N1780">
        <v>2000</v>
      </c>
    </row>
    <row r="1781" spans="1:14">
      <c r="A1781" t="s">
        <v>14</v>
      </c>
      <c r="B1781" t="str">
        <f>"122001200100"</f>
        <v>122001200100</v>
      </c>
      <c r="C1781" t="s">
        <v>2454</v>
      </c>
      <c r="D1781" t="s">
        <v>2264</v>
      </c>
      <c r="G1781" t="s">
        <v>32</v>
      </c>
      <c r="H1781" t="s">
        <v>44</v>
      </c>
      <c r="I1781" t="s">
        <v>104</v>
      </c>
      <c r="J1781" t="s">
        <v>105</v>
      </c>
      <c r="K1781" t="s">
        <v>106</v>
      </c>
      <c r="L1781" t="s">
        <v>63</v>
      </c>
      <c r="M1781" s="1">
        <v>36911</v>
      </c>
      <c r="N1781">
        <v>2001</v>
      </c>
    </row>
    <row r="1782" spans="1:14">
      <c r="A1782" t="s">
        <v>14</v>
      </c>
      <c r="B1782" t="str">
        <f>"121611200100"</f>
        <v>121611200100</v>
      </c>
      <c r="C1782" t="s">
        <v>2458</v>
      </c>
      <c r="D1782" t="s">
        <v>233</v>
      </c>
      <c r="G1782" t="s">
        <v>32</v>
      </c>
      <c r="H1782" t="s">
        <v>44</v>
      </c>
      <c r="I1782" t="s">
        <v>104</v>
      </c>
      <c r="J1782" t="s">
        <v>105</v>
      </c>
      <c r="K1782" t="s">
        <v>106</v>
      </c>
      <c r="L1782" t="s">
        <v>63</v>
      </c>
      <c r="M1782" s="1">
        <v>37211</v>
      </c>
      <c r="N1782">
        <v>2001</v>
      </c>
    </row>
    <row r="1783" spans="1:14">
      <c r="A1783" t="s">
        <v>14</v>
      </c>
      <c r="B1783" t="str">
        <f>"122407199900"</f>
        <v>122407199900</v>
      </c>
      <c r="C1783" t="s">
        <v>2537</v>
      </c>
      <c r="D1783" t="s">
        <v>380</v>
      </c>
      <c r="G1783" t="s">
        <v>32</v>
      </c>
      <c r="H1783" t="s">
        <v>44</v>
      </c>
      <c r="I1783" t="s">
        <v>104</v>
      </c>
      <c r="J1783" t="s">
        <v>105</v>
      </c>
      <c r="K1783" t="s">
        <v>204</v>
      </c>
      <c r="L1783" t="s">
        <v>48</v>
      </c>
      <c r="M1783" s="1">
        <v>36365</v>
      </c>
      <c r="N1783">
        <v>1999</v>
      </c>
    </row>
    <row r="1784" spans="1:14">
      <c r="A1784" t="s">
        <v>14</v>
      </c>
      <c r="B1784" t="str">
        <f>"122012200101"</f>
        <v>122012200101</v>
      </c>
      <c r="C1784" t="s">
        <v>2649</v>
      </c>
      <c r="D1784" t="s">
        <v>234</v>
      </c>
      <c r="G1784" t="s">
        <v>32</v>
      </c>
      <c r="H1784" t="s">
        <v>44</v>
      </c>
      <c r="I1784" t="s">
        <v>104</v>
      </c>
      <c r="J1784" t="s">
        <v>105</v>
      </c>
      <c r="K1784" t="s">
        <v>330</v>
      </c>
      <c r="L1784" t="s">
        <v>63</v>
      </c>
      <c r="M1784" s="1">
        <v>37245</v>
      </c>
      <c r="N1784">
        <v>2001</v>
      </c>
    </row>
    <row r="1785" spans="1:14">
      <c r="A1785" t="s">
        <v>14</v>
      </c>
      <c r="B1785" t="str">
        <f>"121306200002"</f>
        <v>121306200002</v>
      </c>
      <c r="C1785" t="s">
        <v>2945</v>
      </c>
      <c r="D1785" t="s">
        <v>611</v>
      </c>
      <c r="G1785" t="s">
        <v>32</v>
      </c>
      <c r="H1785" t="s">
        <v>44</v>
      </c>
      <c r="I1785" t="s">
        <v>104</v>
      </c>
      <c r="J1785" t="s">
        <v>105</v>
      </c>
      <c r="K1785" t="s">
        <v>330</v>
      </c>
      <c r="L1785" t="s">
        <v>63</v>
      </c>
      <c r="M1785" s="1">
        <v>36690</v>
      </c>
      <c r="N1785">
        <v>2000</v>
      </c>
    </row>
    <row r="1786" spans="1:14">
      <c r="A1786" t="s">
        <v>14</v>
      </c>
      <c r="B1786" t="str">
        <f>"112006199601"</f>
        <v>112006199601</v>
      </c>
      <c r="C1786" t="s">
        <v>471</v>
      </c>
      <c r="D1786" t="s">
        <v>209</v>
      </c>
      <c r="G1786" t="s">
        <v>17</v>
      </c>
      <c r="H1786" t="s">
        <v>25</v>
      </c>
      <c r="I1786" t="s">
        <v>104</v>
      </c>
      <c r="J1786" t="s">
        <v>105</v>
      </c>
      <c r="K1786" t="s">
        <v>472</v>
      </c>
      <c r="L1786" t="s">
        <v>63</v>
      </c>
      <c r="M1786" s="1">
        <v>35236</v>
      </c>
      <c r="N1786">
        <v>1996</v>
      </c>
    </row>
    <row r="1787" spans="1:14">
      <c r="A1787" t="s">
        <v>14</v>
      </c>
      <c r="B1787" t="str">
        <f>"111107199700"</f>
        <v>111107199700</v>
      </c>
      <c r="C1787" t="s">
        <v>512</v>
      </c>
      <c r="D1787" t="s">
        <v>221</v>
      </c>
      <c r="G1787" t="s">
        <v>17</v>
      </c>
      <c r="H1787" t="s">
        <v>25</v>
      </c>
      <c r="I1787" t="s">
        <v>104</v>
      </c>
      <c r="J1787" t="s">
        <v>105</v>
      </c>
      <c r="K1787" t="s">
        <v>472</v>
      </c>
      <c r="L1787" t="s">
        <v>48</v>
      </c>
      <c r="M1787" s="1">
        <v>35622</v>
      </c>
      <c r="N1787">
        <v>1997</v>
      </c>
    </row>
    <row r="1788" spans="1:14">
      <c r="A1788" t="s">
        <v>14</v>
      </c>
      <c r="B1788" t="str">
        <f>"112601199800"</f>
        <v>112601199800</v>
      </c>
      <c r="C1788" t="s">
        <v>1202</v>
      </c>
      <c r="D1788" t="s">
        <v>209</v>
      </c>
      <c r="G1788" t="s">
        <v>17</v>
      </c>
      <c r="H1788" t="s">
        <v>25</v>
      </c>
      <c r="I1788" t="s">
        <v>104</v>
      </c>
      <c r="J1788" t="s">
        <v>105</v>
      </c>
      <c r="K1788" t="s">
        <v>153</v>
      </c>
      <c r="M1788" s="1">
        <v>35821</v>
      </c>
      <c r="N1788">
        <v>1998</v>
      </c>
    </row>
    <row r="1789" spans="1:14">
      <c r="A1789" t="s">
        <v>14</v>
      </c>
      <c r="B1789" t="str">
        <f>"110601199600"</f>
        <v>110601199600</v>
      </c>
      <c r="C1789" t="s">
        <v>1314</v>
      </c>
      <c r="D1789" t="s">
        <v>155</v>
      </c>
      <c r="G1789" t="s">
        <v>17</v>
      </c>
      <c r="H1789" t="s">
        <v>25</v>
      </c>
      <c r="I1789" t="s">
        <v>104</v>
      </c>
      <c r="J1789" t="s">
        <v>105</v>
      </c>
      <c r="K1789" t="s">
        <v>472</v>
      </c>
      <c r="L1789" t="s">
        <v>63</v>
      </c>
      <c r="M1789" s="1">
        <v>35070</v>
      </c>
      <c r="N1789">
        <v>1996</v>
      </c>
    </row>
    <row r="1790" spans="1:14">
      <c r="A1790" t="s">
        <v>14</v>
      </c>
      <c r="B1790" t="str">
        <f>"111903198700"</f>
        <v>111903198700</v>
      </c>
      <c r="C1790" t="s">
        <v>1756</v>
      </c>
      <c r="D1790" t="s">
        <v>24</v>
      </c>
      <c r="G1790" t="s">
        <v>17</v>
      </c>
      <c r="H1790" t="s">
        <v>25</v>
      </c>
      <c r="I1790" t="s">
        <v>104</v>
      </c>
      <c r="J1790" t="s">
        <v>105</v>
      </c>
      <c r="K1790" t="s">
        <v>458</v>
      </c>
      <c r="L1790" t="s">
        <v>340</v>
      </c>
      <c r="M1790" s="1">
        <v>31855</v>
      </c>
      <c r="N1790">
        <v>1987</v>
      </c>
    </row>
    <row r="1791" spans="1:14">
      <c r="A1791" t="s">
        <v>14</v>
      </c>
      <c r="B1791" t="str">
        <f>"112703199400"</f>
        <v>112703199400</v>
      </c>
      <c r="C1791" t="s">
        <v>1798</v>
      </c>
      <c r="D1791" t="s">
        <v>221</v>
      </c>
      <c r="G1791" t="s">
        <v>17</v>
      </c>
      <c r="H1791" t="s">
        <v>25</v>
      </c>
      <c r="I1791" t="s">
        <v>104</v>
      </c>
      <c r="J1791" t="s">
        <v>105</v>
      </c>
      <c r="K1791" t="s">
        <v>106</v>
      </c>
      <c r="L1791" t="s">
        <v>48</v>
      </c>
      <c r="M1791" s="1">
        <v>34420</v>
      </c>
      <c r="N1791">
        <v>1994</v>
      </c>
    </row>
    <row r="1792" spans="1:14">
      <c r="A1792" t="s">
        <v>14</v>
      </c>
      <c r="B1792" t="str">
        <f>"112912199800"</f>
        <v>112912199800</v>
      </c>
      <c r="C1792" t="s">
        <v>2048</v>
      </c>
      <c r="D1792" t="s">
        <v>70</v>
      </c>
      <c r="G1792" t="s">
        <v>17</v>
      </c>
      <c r="H1792" t="s">
        <v>25</v>
      </c>
      <c r="I1792" t="s">
        <v>104</v>
      </c>
      <c r="J1792" t="s">
        <v>105</v>
      </c>
      <c r="K1792" t="s">
        <v>1212</v>
      </c>
      <c r="L1792" t="s">
        <v>22</v>
      </c>
      <c r="M1792" s="1">
        <v>36158</v>
      </c>
      <c r="N1792">
        <v>1998</v>
      </c>
    </row>
    <row r="1793" spans="1:14">
      <c r="A1793" t="s">
        <v>14</v>
      </c>
      <c r="B1793" t="str">
        <f>"112311199700"</f>
        <v>112311199700</v>
      </c>
      <c r="C1793" t="s">
        <v>2081</v>
      </c>
      <c r="D1793" t="s">
        <v>259</v>
      </c>
      <c r="G1793" t="s">
        <v>17</v>
      </c>
      <c r="H1793" t="s">
        <v>25</v>
      </c>
      <c r="I1793" t="s">
        <v>104</v>
      </c>
      <c r="J1793" t="s">
        <v>105</v>
      </c>
      <c r="K1793" t="s">
        <v>472</v>
      </c>
      <c r="L1793" t="s">
        <v>48</v>
      </c>
      <c r="M1793" s="1">
        <v>35757</v>
      </c>
      <c r="N1793">
        <v>1997</v>
      </c>
    </row>
    <row r="1794" spans="1:14">
      <c r="A1794" t="s">
        <v>14</v>
      </c>
      <c r="B1794" t="str">
        <f>"111912198600"</f>
        <v>111912198600</v>
      </c>
      <c r="C1794" t="s">
        <v>2403</v>
      </c>
      <c r="D1794" t="s">
        <v>115</v>
      </c>
      <c r="G1794" t="s">
        <v>17</v>
      </c>
      <c r="H1794" t="s">
        <v>25</v>
      </c>
      <c r="I1794" t="s">
        <v>104</v>
      </c>
      <c r="J1794" t="s">
        <v>105</v>
      </c>
      <c r="K1794" t="s">
        <v>106</v>
      </c>
      <c r="L1794" t="s">
        <v>340</v>
      </c>
      <c r="M1794" s="1">
        <v>31765</v>
      </c>
      <c r="N1794">
        <v>1986</v>
      </c>
    </row>
    <row r="1795" spans="1:14">
      <c r="A1795" t="s">
        <v>14</v>
      </c>
      <c r="B1795" t="str">
        <f>"113110199600"</f>
        <v>113110199600</v>
      </c>
      <c r="C1795" t="s">
        <v>2438</v>
      </c>
      <c r="D1795" t="s">
        <v>181</v>
      </c>
      <c r="G1795" t="s">
        <v>17</v>
      </c>
      <c r="H1795" t="s">
        <v>25</v>
      </c>
      <c r="I1795" t="s">
        <v>104</v>
      </c>
      <c r="J1795" t="s">
        <v>105</v>
      </c>
      <c r="K1795" t="s">
        <v>295</v>
      </c>
      <c r="L1795" t="s">
        <v>48</v>
      </c>
      <c r="M1795" s="1">
        <v>35369</v>
      </c>
      <c r="N1795">
        <v>1996</v>
      </c>
    </row>
    <row r="1796" spans="1:14">
      <c r="A1796" t="s">
        <v>14</v>
      </c>
      <c r="B1796" t="str">
        <f>"112211199600"</f>
        <v>112211199600</v>
      </c>
      <c r="C1796" t="s">
        <v>2527</v>
      </c>
      <c r="D1796" t="s">
        <v>115</v>
      </c>
      <c r="G1796" t="s">
        <v>17</v>
      </c>
      <c r="H1796" t="s">
        <v>25</v>
      </c>
      <c r="I1796" t="s">
        <v>104</v>
      </c>
      <c r="J1796" t="s">
        <v>105</v>
      </c>
      <c r="K1796" t="s">
        <v>472</v>
      </c>
      <c r="L1796" t="s">
        <v>48</v>
      </c>
      <c r="M1796" s="1">
        <v>35391</v>
      </c>
      <c r="N1796">
        <v>1996</v>
      </c>
    </row>
    <row r="1797" spans="1:14">
      <c r="A1797" t="s">
        <v>14</v>
      </c>
      <c r="B1797" t="str">
        <f>"111101199700"</f>
        <v>111101199700</v>
      </c>
      <c r="C1797" t="s">
        <v>2556</v>
      </c>
      <c r="D1797" t="s">
        <v>387</v>
      </c>
      <c r="G1797" t="s">
        <v>17</v>
      </c>
      <c r="H1797" t="s">
        <v>25</v>
      </c>
      <c r="I1797" t="s">
        <v>104</v>
      </c>
      <c r="J1797" t="s">
        <v>105</v>
      </c>
      <c r="K1797" t="s">
        <v>2557</v>
      </c>
      <c r="L1797" t="s">
        <v>29</v>
      </c>
      <c r="M1797" s="1">
        <v>35441</v>
      </c>
      <c r="N1797">
        <v>1997</v>
      </c>
    </row>
    <row r="1798" spans="1:14">
      <c r="A1798" t="s">
        <v>14</v>
      </c>
      <c r="B1798" t="str">
        <f>"113001199801"</f>
        <v>113001199801</v>
      </c>
      <c r="C1798" t="s">
        <v>2886</v>
      </c>
      <c r="D1798" t="s">
        <v>534</v>
      </c>
      <c r="G1798" t="s">
        <v>17</v>
      </c>
      <c r="H1798" t="s">
        <v>25</v>
      </c>
      <c r="I1798" t="s">
        <v>104</v>
      </c>
      <c r="J1798" t="s">
        <v>105</v>
      </c>
      <c r="K1798" t="s">
        <v>2217</v>
      </c>
      <c r="L1798" t="s">
        <v>63</v>
      </c>
      <c r="M1798" s="1">
        <v>35825</v>
      </c>
      <c r="N1798">
        <v>1998</v>
      </c>
    </row>
    <row r="1799" spans="1:14">
      <c r="A1799" t="s">
        <v>14</v>
      </c>
      <c r="B1799" t="str">
        <f>"111810198700"</f>
        <v>111810198700</v>
      </c>
      <c r="C1799" t="s">
        <v>2928</v>
      </c>
      <c r="D1799" t="s">
        <v>50</v>
      </c>
      <c r="G1799" t="s">
        <v>17</v>
      </c>
      <c r="H1799" t="s">
        <v>25</v>
      </c>
      <c r="I1799" t="s">
        <v>104</v>
      </c>
      <c r="J1799" t="s">
        <v>105</v>
      </c>
      <c r="K1799" t="s">
        <v>472</v>
      </c>
      <c r="L1799" t="s">
        <v>48</v>
      </c>
      <c r="M1799" s="1">
        <v>32068</v>
      </c>
      <c r="N1799">
        <v>1987</v>
      </c>
    </row>
    <row r="1800" spans="1:14">
      <c r="A1800" t="s">
        <v>14</v>
      </c>
      <c r="B1800" t="str">
        <f>"111705200100"</f>
        <v>111705200100</v>
      </c>
      <c r="C1800" t="s">
        <v>102</v>
      </c>
      <c r="D1800" t="s">
        <v>103</v>
      </c>
      <c r="G1800" t="s">
        <v>17</v>
      </c>
      <c r="H1800" t="s">
        <v>18</v>
      </c>
      <c r="I1800" t="s">
        <v>104</v>
      </c>
      <c r="J1800" t="s">
        <v>105</v>
      </c>
      <c r="K1800" t="s">
        <v>106</v>
      </c>
      <c r="L1800" t="s">
        <v>22</v>
      </c>
      <c r="M1800" s="1">
        <v>37028</v>
      </c>
      <c r="N1800">
        <v>2001</v>
      </c>
    </row>
    <row r="1801" spans="1:14">
      <c r="A1801" t="s">
        <v>14</v>
      </c>
      <c r="B1801" t="str">
        <f>"110306200000"</f>
        <v>110306200000</v>
      </c>
      <c r="C1801" t="s">
        <v>224</v>
      </c>
      <c r="D1801" t="s">
        <v>155</v>
      </c>
      <c r="G1801" t="s">
        <v>17</v>
      </c>
      <c r="H1801" t="s">
        <v>18</v>
      </c>
      <c r="I1801" t="s">
        <v>104</v>
      </c>
      <c r="J1801" t="s">
        <v>105</v>
      </c>
      <c r="K1801" t="s">
        <v>225</v>
      </c>
      <c r="L1801" t="s">
        <v>22</v>
      </c>
      <c r="M1801" s="1">
        <v>36680</v>
      </c>
      <c r="N1801">
        <v>2000</v>
      </c>
    </row>
    <row r="1802" spans="1:14">
      <c r="A1802" t="s">
        <v>14</v>
      </c>
      <c r="B1802" t="str">
        <f>"111301200100"</f>
        <v>111301200100</v>
      </c>
      <c r="C1802" t="s">
        <v>293</v>
      </c>
      <c r="D1802" t="s">
        <v>221</v>
      </c>
      <c r="G1802" t="s">
        <v>17</v>
      </c>
      <c r="H1802" t="s">
        <v>18</v>
      </c>
      <c r="I1802" t="s">
        <v>104</v>
      </c>
      <c r="J1802" t="s">
        <v>105</v>
      </c>
      <c r="K1802" t="s">
        <v>295</v>
      </c>
      <c r="L1802" t="s">
        <v>63</v>
      </c>
      <c r="M1802" s="1">
        <v>36904</v>
      </c>
      <c r="N1802">
        <v>2001</v>
      </c>
    </row>
    <row r="1803" spans="1:14">
      <c r="A1803" t="s">
        <v>14</v>
      </c>
      <c r="B1803" t="str">
        <f>"110604199900"</f>
        <v>110604199900</v>
      </c>
      <c r="C1803" t="s">
        <v>306</v>
      </c>
      <c r="D1803" t="s">
        <v>50</v>
      </c>
      <c r="G1803" t="s">
        <v>17</v>
      </c>
      <c r="H1803" t="s">
        <v>18</v>
      </c>
      <c r="I1803" t="s">
        <v>104</v>
      </c>
      <c r="J1803" t="s">
        <v>105</v>
      </c>
      <c r="K1803" t="s">
        <v>307</v>
      </c>
      <c r="L1803" t="s">
        <v>63</v>
      </c>
      <c r="M1803" s="1">
        <v>36256</v>
      </c>
      <c r="N1803">
        <v>1999</v>
      </c>
    </row>
    <row r="1804" spans="1:14">
      <c r="A1804" t="s">
        <v>14</v>
      </c>
      <c r="B1804" t="str">
        <f>"111210200001"</f>
        <v>111210200001</v>
      </c>
      <c r="C1804" t="s">
        <v>328</v>
      </c>
      <c r="D1804" t="s">
        <v>329</v>
      </c>
      <c r="G1804" t="s">
        <v>17</v>
      </c>
      <c r="H1804" t="s">
        <v>18</v>
      </c>
      <c r="I1804" t="s">
        <v>104</v>
      </c>
      <c r="J1804" t="s">
        <v>105</v>
      </c>
      <c r="K1804" t="s">
        <v>330</v>
      </c>
      <c r="L1804" t="s">
        <v>63</v>
      </c>
      <c r="M1804" s="1">
        <v>36811</v>
      </c>
      <c r="N1804">
        <v>2000</v>
      </c>
    </row>
    <row r="1805" spans="1:14">
      <c r="A1805" t="s">
        <v>14</v>
      </c>
      <c r="B1805" t="str">
        <f>"112606200100"</f>
        <v>112606200100</v>
      </c>
      <c r="C1805" t="s">
        <v>459</v>
      </c>
      <c r="D1805" t="s">
        <v>50</v>
      </c>
      <c r="G1805" t="s">
        <v>17</v>
      </c>
      <c r="H1805" t="s">
        <v>18</v>
      </c>
      <c r="I1805" t="s">
        <v>104</v>
      </c>
      <c r="J1805" t="s">
        <v>105</v>
      </c>
      <c r="K1805" t="s">
        <v>204</v>
      </c>
      <c r="L1805" t="s">
        <v>22</v>
      </c>
      <c r="M1805" s="1">
        <v>37068</v>
      </c>
      <c r="N1805">
        <v>2001</v>
      </c>
    </row>
    <row r="1806" spans="1:14">
      <c r="A1806" t="s">
        <v>14</v>
      </c>
      <c r="B1806" t="str">
        <f>"112207200000"</f>
        <v>112207200000</v>
      </c>
      <c r="C1806" t="s">
        <v>480</v>
      </c>
      <c r="D1806" t="s">
        <v>24</v>
      </c>
      <c r="G1806" t="s">
        <v>17</v>
      </c>
      <c r="H1806" t="s">
        <v>18</v>
      </c>
      <c r="I1806" t="s">
        <v>104</v>
      </c>
      <c r="J1806" t="s">
        <v>105</v>
      </c>
      <c r="K1806" t="s">
        <v>481</v>
      </c>
      <c r="L1806" t="s">
        <v>22</v>
      </c>
      <c r="M1806" s="1">
        <v>36729</v>
      </c>
      <c r="N1806">
        <v>2000</v>
      </c>
    </row>
    <row r="1807" spans="1:14">
      <c r="A1807" t="s">
        <v>14</v>
      </c>
      <c r="B1807" t="str">
        <f>"112804200001"</f>
        <v>112804200001</v>
      </c>
      <c r="C1807" t="s">
        <v>528</v>
      </c>
      <c r="D1807" t="s">
        <v>529</v>
      </c>
      <c r="G1807" t="s">
        <v>17</v>
      </c>
      <c r="H1807" t="s">
        <v>18</v>
      </c>
      <c r="I1807" t="s">
        <v>104</v>
      </c>
      <c r="J1807" t="s">
        <v>105</v>
      </c>
      <c r="K1807" t="s">
        <v>106</v>
      </c>
      <c r="L1807" t="s">
        <v>63</v>
      </c>
      <c r="M1807" s="1">
        <v>36644</v>
      </c>
      <c r="N1807">
        <v>2000</v>
      </c>
    </row>
    <row r="1808" spans="1:14">
      <c r="A1808" t="s">
        <v>14</v>
      </c>
      <c r="B1808" t="str">
        <f>"112304199900"</f>
        <v>112304199900</v>
      </c>
      <c r="C1808" t="s">
        <v>659</v>
      </c>
      <c r="D1808" t="s">
        <v>373</v>
      </c>
      <c r="G1808" t="s">
        <v>17</v>
      </c>
      <c r="H1808" t="s">
        <v>18</v>
      </c>
      <c r="I1808" t="s">
        <v>104</v>
      </c>
      <c r="J1808" t="s">
        <v>105</v>
      </c>
      <c r="K1808" t="s">
        <v>330</v>
      </c>
      <c r="L1808" t="s">
        <v>48</v>
      </c>
      <c r="M1808" s="1">
        <v>36273</v>
      </c>
      <c r="N1808">
        <v>1999</v>
      </c>
    </row>
    <row r="1809" spans="1:14">
      <c r="A1809" t="s">
        <v>14</v>
      </c>
      <c r="B1809" t="str">
        <f>"112404199900"</f>
        <v>112404199900</v>
      </c>
      <c r="C1809" t="s">
        <v>943</v>
      </c>
      <c r="D1809" t="s">
        <v>209</v>
      </c>
      <c r="G1809" t="s">
        <v>17</v>
      </c>
      <c r="H1809" t="s">
        <v>18</v>
      </c>
      <c r="I1809" t="s">
        <v>104</v>
      </c>
      <c r="J1809" t="s">
        <v>105</v>
      </c>
      <c r="K1809" t="s">
        <v>204</v>
      </c>
      <c r="L1809" t="s">
        <v>63</v>
      </c>
      <c r="M1809" s="1">
        <v>36274</v>
      </c>
      <c r="N1809">
        <v>1999</v>
      </c>
    </row>
    <row r="1810" spans="1:14">
      <c r="A1810" t="s">
        <v>14</v>
      </c>
      <c r="B1810" t="str">
        <f>"111202200000"</f>
        <v>111202200000</v>
      </c>
      <c r="C1810" t="s">
        <v>963</v>
      </c>
      <c r="D1810" t="s">
        <v>221</v>
      </c>
      <c r="G1810" t="s">
        <v>17</v>
      </c>
      <c r="H1810" t="s">
        <v>18</v>
      </c>
      <c r="I1810" t="s">
        <v>104</v>
      </c>
      <c r="J1810" t="s">
        <v>105</v>
      </c>
      <c r="K1810" t="s">
        <v>458</v>
      </c>
      <c r="L1810" t="s">
        <v>48</v>
      </c>
      <c r="M1810" s="1">
        <v>36568</v>
      </c>
      <c r="N1810">
        <v>2000</v>
      </c>
    </row>
    <row r="1811" spans="1:14">
      <c r="A1811" t="s">
        <v>14</v>
      </c>
      <c r="B1811" t="str">
        <f>"112010200100"</f>
        <v>112010200100</v>
      </c>
      <c r="C1811" t="s">
        <v>1137</v>
      </c>
      <c r="D1811" t="s">
        <v>209</v>
      </c>
      <c r="G1811" t="s">
        <v>17</v>
      </c>
      <c r="H1811" t="s">
        <v>18</v>
      </c>
      <c r="I1811" t="s">
        <v>104</v>
      </c>
      <c r="J1811" t="s">
        <v>105</v>
      </c>
      <c r="K1811" t="s">
        <v>330</v>
      </c>
      <c r="L1811" t="s">
        <v>63</v>
      </c>
      <c r="M1811" s="1">
        <v>37184</v>
      </c>
      <c r="N1811">
        <v>2001</v>
      </c>
    </row>
    <row r="1812" spans="1:14">
      <c r="A1812" t="s">
        <v>14</v>
      </c>
      <c r="B1812" t="str">
        <f>"110303200100"</f>
        <v>110303200100</v>
      </c>
      <c r="C1812" t="s">
        <v>1198</v>
      </c>
      <c r="D1812" t="s">
        <v>1199</v>
      </c>
      <c r="G1812" t="s">
        <v>17</v>
      </c>
      <c r="H1812" t="s">
        <v>18</v>
      </c>
      <c r="I1812" t="s">
        <v>104</v>
      </c>
      <c r="J1812" t="s">
        <v>105</v>
      </c>
      <c r="K1812" t="s">
        <v>295</v>
      </c>
      <c r="M1812" s="1">
        <v>36953</v>
      </c>
      <c r="N1812">
        <v>2001</v>
      </c>
    </row>
    <row r="1813" spans="1:14">
      <c r="A1813" t="s">
        <v>14</v>
      </c>
      <c r="B1813" t="str">
        <f>"112001200100"</f>
        <v>112001200100</v>
      </c>
      <c r="C1813" t="s">
        <v>1281</v>
      </c>
      <c r="D1813" t="s">
        <v>129</v>
      </c>
      <c r="G1813" t="s">
        <v>17</v>
      </c>
      <c r="H1813" t="s">
        <v>18</v>
      </c>
      <c r="I1813" t="s">
        <v>104</v>
      </c>
      <c r="J1813" t="s">
        <v>105</v>
      </c>
      <c r="K1813" t="s">
        <v>295</v>
      </c>
      <c r="L1813" t="s">
        <v>22</v>
      </c>
      <c r="M1813" s="1">
        <v>36911</v>
      </c>
      <c r="N1813">
        <v>2001</v>
      </c>
    </row>
    <row r="1814" spans="1:14">
      <c r="A1814" t="s">
        <v>14</v>
      </c>
      <c r="B1814" t="str">
        <f>"112506200101"</f>
        <v>112506200101</v>
      </c>
      <c r="C1814" t="s">
        <v>1321</v>
      </c>
      <c r="D1814" t="s">
        <v>98</v>
      </c>
      <c r="G1814" t="s">
        <v>17</v>
      </c>
      <c r="H1814" t="s">
        <v>18</v>
      </c>
      <c r="I1814" t="s">
        <v>104</v>
      </c>
      <c r="J1814" t="s">
        <v>105</v>
      </c>
      <c r="K1814" t="s">
        <v>204</v>
      </c>
      <c r="L1814" t="s">
        <v>63</v>
      </c>
      <c r="M1814" s="1">
        <v>37067</v>
      </c>
      <c r="N1814">
        <v>2001</v>
      </c>
    </row>
    <row r="1815" spans="1:14">
      <c r="A1815" t="s">
        <v>14</v>
      </c>
      <c r="B1815" t="str">
        <f>"112309200101"</f>
        <v>112309200101</v>
      </c>
      <c r="C1815" t="s">
        <v>1443</v>
      </c>
      <c r="D1815" t="s">
        <v>89</v>
      </c>
      <c r="G1815" t="s">
        <v>17</v>
      </c>
      <c r="H1815" t="s">
        <v>18</v>
      </c>
      <c r="I1815" t="s">
        <v>104</v>
      </c>
      <c r="J1815" t="s">
        <v>105</v>
      </c>
      <c r="K1815" t="s">
        <v>330</v>
      </c>
      <c r="L1815" t="s">
        <v>63</v>
      </c>
      <c r="M1815" s="1">
        <v>37157</v>
      </c>
      <c r="N1815">
        <v>2001</v>
      </c>
    </row>
    <row r="1816" spans="1:14">
      <c r="A1816" t="s">
        <v>14</v>
      </c>
      <c r="B1816" t="str">
        <f>"110104199903"</f>
        <v>110104199903</v>
      </c>
      <c r="C1816" t="s">
        <v>1528</v>
      </c>
      <c r="D1816" t="s">
        <v>382</v>
      </c>
      <c r="G1816" t="s">
        <v>17</v>
      </c>
      <c r="H1816" t="s">
        <v>18</v>
      </c>
      <c r="I1816" t="s">
        <v>104</v>
      </c>
      <c r="J1816" t="s">
        <v>105</v>
      </c>
      <c r="K1816" t="s">
        <v>204</v>
      </c>
      <c r="L1816" t="s">
        <v>63</v>
      </c>
      <c r="M1816" s="1">
        <v>36251</v>
      </c>
      <c r="N1816">
        <v>1999</v>
      </c>
    </row>
    <row r="1817" spans="1:14">
      <c r="A1817" t="s">
        <v>14</v>
      </c>
      <c r="B1817" t="str">
        <f>"113004199900"</f>
        <v>113004199900</v>
      </c>
      <c r="C1817" t="s">
        <v>1576</v>
      </c>
      <c r="D1817" t="s">
        <v>373</v>
      </c>
      <c r="G1817" t="s">
        <v>17</v>
      </c>
      <c r="H1817" t="s">
        <v>18</v>
      </c>
      <c r="I1817" t="s">
        <v>104</v>
      </c>
      <c r="J1817" t="s">
        <v>105</v>
      </c>
      <c r="K1817" t="s">
        <v>204</v>
      </c>
      <c r="L1817" t="s">
        <v>63</v>
      </c>
      <c r="M1817" s="1">
        <v>36280</v>
      </c>
      <c r="N1817">
        <v>1999</v>
      </c>
    </row>
    <row r="1818" spans="1:14">
      <c r="A1818" t="s">
        <v>14</v>
      </c>
      <c r="B1818" t="str">
        <f>"112804200101"</f>
        <v>112804200101</v>
      </c>
      <c r="C1818" t="s">
        <v>1595</v>
      </c>
      <c r="D1818" t="s">
        <v>292</v>
      </c>
      <c r="G1818" t="s">
        <v>17</v>
      </c>
      <c r="H1818" t="s">
        <v>18</v>
      </c>
      <c r="I1818" t="s">
        <v>104</v>
      </c>
      <c r="J1818" t="s">
        <v>105</v>
      </c>
      <c r="K1818" t="s">
        <v>153</v>
      </c>
      <c r="L1818" t="s">
        <v>22</v>
      </c>
      <c r="M1818" s="1">
        <v>37009</v>
      </c>
      <c r="N1818">
        <v>2001</v>
      </c>
    </row>
    <row r="1819" spans="1:14">
      <c r="A1819" t="s">
        <v>14</v>
      </c>
      <c r="B1819" t="str">
        <f>"111204200102"</f>
        <v>111204200102</v>
      </c>
      <c r="C1819" t="s">
        <v>1671</v>
      </c>
      <c r="D1819" t="s">
        <v>305</v>
      </c>
      <c r="G1819" t="s">
        <v>17</v>
      </c>
      <c r="H1819" t="s">
        <v>18</v>
      </c>
      <c r="I1819" t="s">
        <v>104</v>
      </c>
      <c r="J1819" t="s">
        <v>105</v>
      </c>
      <c r="K1819" t="s">
        <v>106</v>
      </c>
      <c r="L1819" t="s">
        <v>22</v>
      </c>
      <c r="M1819" s="1">
        <v>36993</v>
      </c>
      <c r="N1819">
        <v>2001</v>
      </c>
    </row>
    <row r="1820" spans="1:14">
      <c r="A1820" t="s">
        <v>14</v>
      </c>
      <c r="B1820" t="str">
        <f>"110707199900"</f>
        <v>110707199900</v>
      </c>
      <c r="C1820" t="s">
        <v>1750</v>
      </c>
      <c r="D1820" t="s">
        <v>175</v>
      </c>
      <c r="G1820" t="s">
        <v>17</v>
      </c>
      <c r="H1820" t="s">
        <v>18</v>
      </c>
      <c r="I1820" t="s">
        <v>104</v>
      </c>
      <c r="J1820" t="s">
        <v>105</v>
      </c>
      <c r="K1820" t="s">
        <v>472</v>
      </c>
      <c r="L1820" t="s">
        <v>63</v>
      </c>
      <c r="M1820" s="1">
        <v>36348</v>
      </c>
      <c r="N1820">
        <v>1999</v>
      </c>
    </row>
    <row r="1821" spans="1:14">
      <c r="A1821" t="s">
        <v>14</v>
      </c>
      <c r="B1821" t="str">
        <f>"112304200001"</f>
        <v>112304200001</v>
      </c>
      <c r="C1821" t="s">
        <v>1987</v>
      </c>
      <c r="D1821" t="s">
        <v>129</v>
      </c>
      <c r="G1821" t="s">
        <v>17</v>
      </c>
      <c r="H1821" t="s">
        <v>18</v>
      </c>
      <c r="I1821" t="s">
        <v>104</v>
      </c>
      <c r="J1821" t="s">
        <v>105</v>
      </c>
      <c r="K1821" t="s">
        <v>204</v>
      </c>
      <c r="L1821" t="s">
        <v>22</v>
      </c>
      <c r="M1821" s="1">
        <v>36639</v>
      </c>
      <c r="N1821">
        <v>2000</v>
      </c>
    </row>
    <row r="1822" spans="1:14">
      <c r="A1822" t="s">
        <v>14</v>
      </c>
      <c r="B1822" t="str">
        <f>"111812200000"</f>
        <v>111812200000</v>
      </c>
      <c r="C1822" t="s">
        <v>2001</v>
      </c>
      <c r="D1822" t="s">
        <v>886</v>
      </c>
      <c r="G1822" t="s">
        <v>17</v>
      </c>
      <c r="H1822" t="s">
        <v>18</v>
      </c>
      <c r="I1822" t="s">
        <v>104</v>
      </c>
      <c r="J1822" t="s">
        <v>105</v>
      </c>
      <c r="K1822" t="s">
        <v>204</v>
      </c>
      <c r="L1822" t="s">
        <v>22</v>
      </c>
      <c r="M1822" s="1">
        <v>36878</v>
      </c>
      <c r="N1822">
        <v>2000</v>
      </c>
    </row>
    <row r="1823" spans="1:14">
      <c r="A1823" t="s">
        <v>14</v>
      </c>
      <c r="B1823" t="str">
        <f>"111901200100"</f>
        <v>111901200100</v>
      </c>
      <c r="C1823" t="s">
        <v>2005</v>
      </c>
      <c r="D1823" t="s">
        <v>305</v>
      </c>
      <c r="G1823" t="s">
        <v>17</v>
      </c>
      <c r="H1823" t="s">
        <v>18</v>
      </c>
      <c r="I1823" t="s">
        <v>104</v>
      </c>
      <c r="J1823" t="s">
        <v>105</v>
      </c>
      <c r="K1823" t="s">
        <v>106</v>
      </c>
      <c r="L1823" t="s">
        <v>22</v>
      </c>
      <c r="M1823" s="1">
        <v>36910</v>
      </c>
      <c r="N1823">
        <v>2001</v>
      </c>
    </row>
    <row r="1824" spans="1:14">
      <c r="A1824" t="s">
        <v>14</v>
      </c>
      <c r="B1824" t="str">
        <f>"111404199900"</f>
        <v>111404199900</v>
      </c>
      <c r="C1824" t="s">
        <v>2053</v>
      </c>
      <c r="D1824" t="s">
        <v>53</v>
      </c>
      <c r="G1824" t="s">
        <v>17</v>
      </c>
      <c r="H1824" t="s">
        <v>18</v>
      </c>
      <c r="I1824" t="s">
        <v>104</v>
      </c>
      <c r="J1824" t="s">
        <v>105</v>
      </c>
      <c r="K1824" t="s">
        <v>481</v>
      </c>
      <c r="L1824" t="s">
        <v>22</v>
      </c>
      <c r="M1824" s="1">
        <v>36264</v>
      </c>
      <c r="N1824">
        <v>1999</v>
      </c>
    </row>
    <row r="1825" spans="1:14">
      <c r="A1825" t="s">
        <v>14</v>
      </c>
      <c r="B1825" t="str">
        <f>"112806200000"</f>
        <v>112806200000</v>
      </c>
      <c r="C1825" t="s">
        <v>2191</v>
      </c>
      <c r="D1825" t="s">
        <v>403</v>
      </c>
      <c r="G1825" t="s">
        <v>17</v>
      </c>
      <c r="H1825" t="s">
        <v>18</v>
      </c>
      <c r="I1825" t="s">
        <v>104</v>
      </c>
      <c r="J1825" t="s">
        <v>105</v>
      </c>
      <c r="K1825" t="s">
        <v>106</v>
      </c>
      <c r="L1825" t="s">
        <v>22</v>
      </c>
      <c r="M1825" s="1">
        <v>36705</v>
      </c>
      <c r="N1825">
        <v>2000</v>
      </c>
    </row>
    <row r="1826" spans="1:14">
      <c r="A1826" t="s">
        <v>14</v>
      </c>
      <c r="B1826" t="str">
        <f>"111904200000"</f>
        <v>111904200000</v>
      </c>
      <c r="C1826" t="s">
        <v>2216</v>
      </c>
      <c r="D1826" t="s">
        <v>1203</v>
      </c>
      <c r="G1826" t="s">
        <v>17</v>
      </c>
      <c r="H1826" t="s">
        <v>18</v>
      </c>
      <c r="I1826" t="s">
        <v>104</v>
      </c>
      <c r="J1826" t="s">
        <v>105</v>
      </c>
      <c r="K1826" t="s">
        <v>2217</v>
      </c>
      <c r="L1826" t="s">
        <v>22</v>
      </c>
      <c r="M1826" s="1">
        <v>36630</v>
      </c>
      <c r="N1826">
        <v>2000</v>
      </c>
    </row>
    <row r="1827" spans="1:14">
      <c r="A1827" t="s">
        <v>14</v>
      </c>
      <c r="B1827" t="str">
        <f>"111708200000"</f>
        <v>111708200000</v>
      </c>
      <c r="C1827" t="s">
        <v>2244</v>
      </c>
      <c r="D1827" t="s">
        <v>2245</v>
      </c>
      <c r="G1827" t="s">
        <v>17</v>
      </c>
      <c r="H1827" t="s">
        <v>18</v>
      </c>
      <c r="I1827" t="s">
        <v>104</v>
      </c>
      <c r="J1827" t="s">
        <v>105</v>
      </c>
      <c r="K1827" t="s">
        <v>295</v>
      </c>
      <c r="L1827" t="s">
        <v>48</v>
      </c>
      <c r="M1827" s="1">
        <v>36755</v>
      </c>
      <c r="N1827">
        <v>2000</v>
      </c>
    </row>
    <row r="1828" spans="1:14">
      <c r="A1828" t="s">
        <v>14</v>
      </c>
      <c r="B1828" t="str">
        <f>"110107200101"</f>
        <v>110107200101</v>
      </c>
      <c r="C1828" t="s">
        <v>2280</v>
      </c>
      <c r="D1828" t="s">
        <v>221</v>
      </c>
      <c r="G1828" t="s">
        <v>17</v>
      </c>
      <c r="H1828" t="s">
        <v>18</v>
      </c>
      <c r="I1828" t="s">
        <v>104</v>
      </c>
      <c r="J1828" t="s">
        <v>105</v>
      </c>
      <c r="K1828" t="s">
        <v>204</v>
      </c>
      <c r="L1828" t="s">
        <v>63</v>
      </c>
      <c r="M1828" s="1">
        <v>37073</v>
      </c>
      <c r="N1828">
        <v>2001</v>
      </c>
    </row>
    <row r="1829" spans="1:14">
      <c r="A1829" t="s">
        <v>14</v>
      </c>
      <c r="B1829" t="str">
        <f>"111007200100"</f>
        <v>111007200100</v>
      </c>
      <c r="C1829" t="s">
        <v>2303</v>
      </c>
      <c r="D1829" t="s">
        <v>209</v>
      </c>
      <c r="G1829" t="s">
        <v>17</v>
      </c>
      <c r="H1829" t="s">
        <v>18</v>
      </c>
      <c r="I1829" t="s">
        <v>104</v>
      </c>
      <c r="J1829" t="s">
        <v>105</v>
      </c>
      <c r="K1829" t="s">
        <v>153</v>
      </c>
      <c r="M1829" s="1">
        <v>37082</v>
      </c>
      <c r="N1829">
        <v>2001</v>
      </c>
    </row>
    <row r="1830" spans="1:14">
      <c r="A1830" t="s">
        <v>14</v>
      </c>
      <c r="B1830" t="str">
        <f>"111905200100"</f>
        <v>111905200100</v>
      </c>
      <c r="C1830" t="s">
        <v>2410</v>
      </c>
      <c r="D1830" t="s">
        <v>16</v>
      </c>
      <c r="G1830" t="s">
        <v>17</v>
      </c>
      <c r="H1830" t="s">
        <v>18</v>
      </c>
      <c r="I1830" t="s">
        <v>104</v>
      </c>
      <c r="J1830" t="s">
        <v>105</v>
      </c>
      <c r="K1830" t="s">
        <v>106</v>
      </c>
      <c r="L1830" t="s">
        <v>63</v>
      </c>
      <c r="M1830" s="1">
        <v>37030</v>
      </c>
      <c r="N1830">
        <v>2001</v>
      </c>
    </row>
    <row r="1831" spans="1:14">
      <c r="A1831" t="s">
        <v>14</v>
      </c>
      <c r="B1831" t="str">
        <f>"112310199901"</f>
        <v>112310199901</v>
      </c>
      <c r="C1831" t="s">
        <v>2446</v>
      </c>
      <c r="D1831" t="s">
        <v>100</v>
      </c>
      <c r="G1831" t="s">
        <v>17</v>
      </c>
      <c r="H1831" t="s">
        <v>18</v>
      </c>
      <c r="I1831" t="s">
        <v>104</v>
      </c>
      <c r="J1831" t="s">
        <v>105</v>
      </c>
      <c r="K1831" t="s">
        <v>295</v>
      </c>
      <c r="L1831" t="s">
        <v>22</v>
      </c>
      <c r="M1831" s="1">
        <v>36456</v>
      </c>
      <c r="N1831">
        <v>1999</v>
      </c>
    </row>
    <row r="1832" spans="1:14">
      <c r="A1832" t="s">
        <v>14</v>
      </c>
      <c r="B1832" t="str">
        <f>"112201200000"</f>
        <v>112201200000</v>
      </c>
      <c r="C1832" t="s">
        <v>2470</v>
      </c>
      <c r="D1832" t="s">
        <v>95</v>
      </c>
      <c r="G1832" t="s">
        <v>17</v>
      </c>
      <c r="H1832" t="s">
        <v>18</v>
      </c>
      <c r="I1832" t="s">
        <v>104</v>
      </c>
      <c r="J1832" t="s">
        <v>105</v>
      </c>
      <c r="K1832" t="s">
        <v>204</v>
      </c>
      <c r="L1832" t="s">
        <v>22</v>
      </c>
      <c r="M1832" s="1">
        <v>36547</v>
      </c>
      <c r="N1832">
        <v>2000</v>
      </c>
    </row>
    <row r="1833" spans="1:14">
      <c r="A1833" t="s">
        <v>14</v>
      </c>
      <c r="B1833" t="str">
        <f>"111511199900"</f>
        <v>111511199900</v>
      </c>
      <c r="C1833" t="s">
        <v>2622</v>
      </c>
      <c r="D1833" t="s">
        <v>209</v>
      </c>
      <c r="G1833" t="s">
        <v>17</v>
      </c>
      <c r="H1833" t="s">
        <v>18</v>
      </c>
      <c r="I1833" t="s">
        <v>104</v>
      </c>
      <c r="J1833" t="s">
        <v>105</v>
      </c>
      <c r="K1833" t="s">
        <v>472</v>
      </c>
      <c r="L1833" t="s">
        <v>63</v>
      </c>
      <c r="M1833" s="1">
        <v>36479</v>
      </c>
      <c r="N1833">
        <v>1999</v>
      </c>
    </row>
    <row r="1834" spans="1:14">
      <c r="A1834" t="s">
        <v>14</v>
      </c>
      <c r="B1834" t="str">
        <f>"111311199901"</f>
        <v>111311199901</v>
      </c>
      <c r="C1834" t="s">
        <v>2625</v>
      </c>
      <c r="D1834" t="s">
        <v>16</v>
      </c>
      <c r="G1834" t="s">
        <v>17</v>
      </c>
      <c r="H1834" t="s">
        <v>18</v>
      </c>
      <c r="I1834" t="s">
        <v>104</v>
      </c>
      <c r="J1834" t="s">
        <v>105</v>
      </c>
      <c r="K1834" t="s">
        <v>2626</v>
      </c>
      <c r="L1834" t="s">
        <v>48</v>
      </c>
      <c r="M1834" s="1">
        <v>36477</v>
      </c>
      <c r="N1834">
        <v>1999</v>
      </c>
    </row>
    <row r="1835" spans="1:14">
      <c r="A1835" t="s">
        <v>14</v>
      </c>
      <c r="B1835" t="str">
        <f>"111606200000"</f>
        <v>111606200000</v>
      </c>
      <c r="C1835" t="s">
        <v>2682</v>
      </c>
      <c r="D1835" t="s">
        <v>24</v>
      </c>
      <c r="G1835" t="s">
        <v>17</v>
      </c>
      <c r="H1835" t="s">
        <v>18</v>
      </c>
      <c r="I1835" t="s">
        <v>104</v>
      </c>
      <c r="J1835" t="s">
        <v>105</v>
      </c>
      <c r="K1835" t="s">
        <v>204</v>
      </c>
      <c r="L1835" t="s">
        <v>63</v>
      </c>
      <c r="M1835" s="1">
        <v>36693</v>
      </c>
      <c r="N1835">
        <v>2000</v>
      </c>
    </row>
    <row r="1836" spans="1:14">
      <c r="A1836" t="s">
        <v>14</v>
      </c>
      <c r="B1836" t="str">
        <f>"111403200100"</f>
        <v>111403200100</v>
      </c>
      <c r="C1836" t="s">
        <v>2790</v>
      </c>
      <c r="D1836" t="s">
        <v>209</v>
      </c>
      <c r="G1836" t="s">
        <v>17</v>
      </c>
      <c r="H1836" t="s">
        <v>18</v>
      </c>
      <c r="I1836" t="s">
        <v>104</v>
      </c>
      <c r="J1836" t="s">
        <v>105</v>
      </c>
      <c r="K1836" t="s">
        <v>330</v>
      </c>
      <c r="L1836" t="s">
        <v>63</v>
      </c>
      <c r="M1836" s="1">
        <v>36964</v>
      </c>
      <c r="N1836">
        <v>2001</v>
      </c>
    </row>
    <row r="1837" spans="1:14">
      <c r="A1837" t="s">
        <v>14</v>
      </c>
      <c r="B1837" t="str">
        <f>"112611200000"</f>
        <v>112611200000</v>
      </c>
      <c r="C1837" t="s">
        <v>2810</v>
      </c>
      <c r="D1837" t="s">
        <v>24</v>
      </c>
      <c r="G1837" t="s">
        <v>17</v>
      </c>
      <c r="H1837" t="s">
        <v>18</v>
      </c>
      <c r="I1837" t="s">
        <v>104</v>
      </c>
      <c r="J1837" t="s">
        <v>105</v>
      </c>
      <c r="K1837" t="s">
        <v>792</v>
      </c>
      <c r="L1837" t="s">
        <v>63</v>
      </c>
      <c r="M1837" s="1">
        <v>36856</v>
      </c>
      <c r="N1837">
        <v>2000</v>
      </c>
    </row>
    <row r="1838" spans="1:14">
      <c r="A1838" t="s">
        <v>14</v>
      </c>
      <c r="B1838" t="str">
        <f>"110508199900"</f>
        <v>110508199900</v>
      </c>
      <c r="C1838" t="s">
        <v>2844</v>
      </c>
      <c r="D1838" t="s">
        <v>24</v>
      </c>
      <c r="G1838" t="s">
        <v>17</v>
      </c>
      <c r="H1838" t="s">
        <v>18</v>
      </c>
      <c r="I1838" t="s">
        <v>104</v>
      </c>
      <c r="J1838" t="s">
        <v>105</v>
      </c>
      <c r="K1838" t="s">
        <v>204</v>
      </c>
      <c r="L1838" t="s">
        <v>63</v>
      </c>
      <c r="M1838" s="1">
        <v>36377</v>
      </c>
      <c r="N1838">
        <v>1999</v>
      </c>
    </row>
    <row r="1839" spans="1:14">
      <c r="A1839" t="s">
        <v>14</v>
      </c>
      <c r="B1839" t="str">
        <f>"111806200100"</f>
        <v>111806200100</v>
      </c>
      <c r="C1839" t="s">
        <v>2902</v>
      </c>
      <c r="D1839" t="s">
        <v>558</v>
      </c>
      <c r="G1839" t="s">
        <v>17</v>
      </c>
      <c r="H1839" t="s">
        <v>18</v>
      </c>
      <c r="I1839" t="s">
        <v>104</v>
      </c>
      <c r="J1839" t="s">
        <v>105</v>
      </c>
      <c r="K1839" t="s">
        <v>204</v>
      </c>
      <c r="L1839" t="s">
        <v>63</v>
      </c>
      <c r="M1839" s="1">
        <v>37060</v>
      </c>
      <c r="N1839">
        <v>2001</v>
      </c>
    </row>
    <row r="1840" spans="1:14">
      <c r="A1840" t="s">
        <v>14</v>
      </c>
      <c r="B1840" t="str">
        <f>"113105200100"</f>
        <v>113105200100</v>
      </c>
      <c r="C1840" t="s">
        <v>2913</v>
      </c>
      <c r="D1840" t="s">
        <v>155</v>
      </c>
      <c r="G1840" t="s">
        <v>17</v>
      </c>
      <c r="H1840" t="s">
        <v>18</v>
      </c>
      <c r="I1840" t="s">
        <v>104</v>
      </c>
      <c r="J1840" t="s">
        <v>105</v>
      </c>
      <c r="K1840" t="s">
        <v>106</v>
      </c>
      <c r="L1840" t="s">
        <v>63</v>
      </c>
      <c r="M1840" s="1">
        <v>37042</v>
      </c>
      <c r="N1840">
        <v>2001</v>
      </c>
    </row>
    <row r="1841" spans="1:14">
      <c r="A1841" t="s">
        <v>14</v>
      </c>
      <c r="B1841" t="str">
        <f>"113008200102"</f>
        <v>113008200102</v>
      </c>
      <c r="C1841" t="s">
        <v>2924</v>
      </c>
      <c r="D1841" t="s">
        <v>209</v>
      </c>
      <c r="G1841" t="s">
        <v>17</v>
      </c>
      <c r="H1841" t="s">
        <v>18</v>
      </c>
      <c r="I1841" t="s">
        <v>104</v>
      </c>
      <c r="J1841" t="s">
        <v>105</v>
      </c>
      <c r="K1841" t="s">
        <v>905</v>
      </c>
      <c r="L1841" t="s">
        <v>22</v>
      </c>
      <c r="M1841" s="1">
        <v>37133</v>
      </c>
      <c r="N1841">
        <v>2001</v>
      </c>
    </row>
    <row r="1842" spans="1:14">
      <c r="A1842" t="s">
        <v>14</v>
      </c>
      <c r="B1842" t="str">
        <f>"112401200400"</f>
        <v>112401200400</v>
      </c>
      <c r="C1842" t="s">
        <v>291</v>
      </c>
      <c r="D1842" t="s">
        <v>24</v>
      </c>
      <c r="G1842" t="s">
        <v>17</v>
      </c>
      <c r="H1842" t="s">
        <v>39</v>
      </c>
      <c r="I1842" t="s">
        <v>104</v>
      </c>
      <c r="J1842" t="s">
        <v>105</v>
      </c>
      <c r="K1842" t="s">
        <v>106</v>
      </c>
      <c r="L1842" t="s">
        <v>22</v>
      </c>
      <c r="M1842" s="1">
        <v>38010</v>
      </c>
      <c r="N1842">
        <v>2004</v>
      </c>
    </row>
    <row r="1843" spans="1:14">
      <c r="A1843" t="s">
        <v>14</v>
      </c>
      <c r="B1843" t="str">
        <f>"110308200400"</f>
        <v>110308200400</v>
      </c>
      <c r="C1843" t="s">
        <v>363</v>
      </c>
      <c r="D1843" t="s">
        <v>209</v>
      </c>
      <c r="G1843" t="s">
        <v>17</v>
      </c>
      <c r="H1843" t="s">
        <v>39</v>
      </c>
      <c r="I1843" t="s">
        <v>104</v>
      </c>
      <c r="J1843" t="s">
        <v>105</v>
      </c>
      <c r="K1843" t="s">
        <v>333</v>
      </c>
      <c r="L1843" t="s">
        <v>22</v>
      </c>
      <c r="M1843" s="1">
        <v>38202</v>
      </c>
      <c r="N1843">
        <v>2004</v>
      </c>
    </row>
    <row r="1844" spans="1:14">
      <c r="A1844" t="s">
        <v>14</v>
      </c>
      <c r="B1844" t="str">
        <f>"110708200500"</f>
        <v>110708200500</v>
      </c>
      <c r="C1844" t="s">
        <v>468</v>
      </c>
      <c r="D1844" t="s">
        <v>221</v>
      </c>
      <c r="G1844" t="s">
        <v>17</v>
      </c>
      <c r="H1844" t="s">
        <v>39</v>
      </c>
      <c r="I1844" t="s">
        <v>104</v>
      </c>
      <c r="J1844" t="s">
        <v>105</v>
      </c>
      <c r="K1844" t="s">
        <v>106</v>
      </c>
      <c r="L1844" t="s">
        <v>22</v>
      </c>
      <c r="M1844" s="1">
        <v>38571</v>
      </c>
      <c r="N1844">
        <v>2005</v>
      </c>
    </row>
    <row r="1845" spans="1:14">
      <c r="A1845" t="s">
        <v>14</v>
      </c>
      <c r="B1845" t="str">
        <f>"110712200500"</f>
        <v>110712200500</v>
      </c>
      <c r="C1845" t="s">
        <v>572</v>
      </c>
      <c r="D1845" t="s">
        <v>305</v>
      </c>
      <c r="G1845" t="s">
        <v>17</v>
      </c>
      <c r="H1845" t="s">
        <v>39</v>
      </c>
      <c r="I1845" t="s">
        <v>104</v>
      </c>
      <c r="J1845" t="s">
        <v>105</v>
      </c>
      <c r="K1845" t="s">
        <v>106</v>
      </c>
      <c r="L1845" t="s">
        <v>22</v>
      </c>
      <c r="M1845" s="1">
        <v>38693</v>
      </c>
      <c r="N1845">
        <v>2005</v>
      </c>
    </row>
    <row r="1846" spans="1:14">
      <c r="A1846" t="s">
        <v>14</v>
      </c>
      <c r="B1846" t="str">
        <f>"113012200401"</f>
        <v>113012200401</v>
      </c>
      <c r="C1846" t="s">
        <v>681</v>
      </c>
      <c r="D1846" t="s">
        <v>682</v>
      </c>
      <c r="G1846" t="s">
        <v>17</v>
      </c>
      <c r="H1846" t="s">
        <v>39</v>
      </c>
      <c r="I1846" t="s">
        <v>104</v>
      </c>
      <c r="J1846" t="s">
        <v>105</v>
      </c>
      <c r="K1846" t="s">
        <v>333</v>
      </c>
      <c r="L1846" t="s">
        <v>22</v>
      </c>
      <c r="M1846" s="1">
        <v>38351</v>
      </c>
      <c r="N1846">
        <v>2004</v>
      </c>
    </row>
    <row r="1847" spans="1:14">
      <c r="A1847" t="s">
        <v>14</v>
      </c>
      <c r="B1847" t="str">
        <f>"111806200400"</f>
        <v>111806200400</v>
      </c>
      <c r="C1847" t="s">
        <v>861</v>
      </c>
      <c r="D1847" t="s">
        <v>305</v>
      </c>
      <c r="G1847" t="s">
        <v>17</v>
      </c>
      <c r="H1847" t="s">
        <v>39</v>
      </c>
      <c r="I1847" t="s">
        <v>104</v>
      </c>
      <c r="J1847" t="s">
        <v>105</v>
      </c>
      <c r="K1847" t="s">
        <v>484</v>
      </c>
      <c r="L1847" t="s">
        <v>22</v>
      </c>
      <c r="M1847" s="1">
        <v>38156</v>
      </c>
      <c r="N1847">
        <v>2004</v>
      </c>
    </row>
    <row r="1848" spans="1:14">
      <c r="A1848" t="s">
        <v>14</v>
      </c>
      <c r="B1848" t="str">
        <f>"111010200401"</f>
        <v>111010200401</v>
      </c>
      <c r="C1848" t="s">
        <v>861</v>
      </c>
      <c r="D1848" t="s">
        <v>115</v>
      </c>
      <c r="G1848" t="s">
        <v>17</v>
      </c>
      <c r="H1848" t="s">
        <v>39</v>
      </c>
      <c r="I1848" t="s">
        <v>104</v>
      </c>
      <c r="J1848" t="s">
        <v>105</v>
      </c>
      <c r="K1848" t="s">
        <v>106</v>
      </c>
      <c r="M1848" s="1">
        <v>38270</v>
      </c>
      <c r="N1848">
        <v>2004</v>
      </c>
    </row>
    <row r="1849" spans="1:14">
      <c r="A1849" t="s">
        <v>14</v>
      </c>
      <c r="B1849" t="str">
        <f>"112811200400"</f>
        <v>112811200400</v>
      </c>
      <c r="C1849" t="s">
        <v>922</v>
      </c>
      <c r="D1849" t="s">
        <v>129</v>
      </c>
      <c r="G1849" t="s">
        <v>17</v>
      </c>
      <c r="H1849" t="s">
        <v>39</v>
      </c>
      <c r="I1849" t="s">
        <v>104</v>
      </c>
      <c r="J1849" t="s">
        <v>105</v>
      </c>
      <c r="K1849" t="s">
        <v>333</v>
      </c>
      <c r="L1849" t="s">
        <v>22</v>
      </c>
      <c r="M1849" s="1">
        <v>38319</v>
      </c>
      <c r="N1849">
        <v>2004</v>
      </c>
    </row>
    <row r="1850" spans="1:14">
      <c r="A1850" t="s">
        <v>14</v>
      </c>
      <c r="B1850" t="str">
        <f>"111701200400"</f>
        <v>111701200400</v>
      </c>
      <c r="C1850" t="s">
        <v>961</v>
      </c>
      <c r="D1850" t="s">
        <v>582</v>
      </c>
      <c r="G1850" t="s">
        <v>17</v>
      </c>
      <c r="H1850" t="s">
        <v>39</v>
      </c>
      <c r="I1850" t="s">
        <v>104</v>
      </c>
      <c r="J1850" t="s">
        <v>105</v>
      </c>
      <c r="K1850" t="s">
        <v>106</v>
      </c>
      <c r="L1850" t="s">
        <v>22</v>
      </c>
      <c r="M1850" s="1">
        <v>38003</v>
      </c>
      <c r="N1850">
        <v>2004</v>
      </c>
    </row>
    <row r="1851" spans="1:14">
      <c r="A1851" t="s">
        <v>14</v>
      </c>
      <c r="B1851" t="str">
        <f>"111411200400"</f>
        <v>111411200400</v>
      </c>
      <c r="C1851" t="s">
        <v>975</v>
      </c>
      <c r="D1851" t="s">
        <v>976</v>
      </c>
      <c r="G1851" t="s">
        <v>17</v>
      </c>
      <c r="H1851" t="s">
        <v>39</v>
      </c>
      <c r="I1851" t="s">
        <v>104</v>
      </c>
      <c r="J1851" t="s">
        <v>105</v>
      </c>
      <c r="K1851" t="s">
        <v>106</v>
      </c>
      <c r="L1851" t="s">
        <v>22</v>
      </c>
      <c r="M1851" s="1">
        <v>38305</v>
      </c>
      <c r="N1851">
        <v>2004</v>
      </c>
    </row>
    <row r="1852" spans="1:14">
      <c r="A1852" t="s">
        <v>14</v>
      </c>
      <c r="B1852" t="str">
        <f>"111401200400"</f>
        <v>111401200400</v>
      </c>
      <c r="C1852" t="s">
        <v>1044</v>
      </c>
      <c r="D1852" t="s">
        <v>98</v>
      </c>
      <c r="G1852" t="s">
        <v>17</v>
      </c>
      <c r="H1852" t="s">
        <v>39</v>
      </c>
      <c r="I1852" t="s">
        <v>104</v>
      </c>
      <c r="J1852" t="s">
        <v>105</v>
      </c>
      <c r="K1852" t="s">
        <v>106</v>
      </c>
      <c r="L1852" t="s">
        <v>22</v>
      </c>
      <c r="M1852" s="1">
        <v>38000</v>
      </c>
      <c r="N1852">
        <v>2004</v>
      </c>
    </row>
    <row r="1853" spans="1:14">
      <c r="A1853" t="s">
        <v>14</v>
      </c>
      <c r="B1853" t="str">
        <f>"112910200400"</f>
        <v>112910200400</v>
      </c>
      <c r="C1853" t="s">
        <v>1137</v>
      </c>
      <c r="D1853" t="s">
        <v>53</v>
      </c>
      <c r="G1853" t="s">
        <v>17</v>
      </c>
      <c r="H1853" t="s">
        <v>39</v>
      </c>
      <c r="I1853" t="s">
        <v>104</v>
      </c>
      <c r="J1853" t="s">
        <v>105</v>
      </c>
      <c r="K1853" t="s">
        <v>484</v>
      </c>
      <c r="M1853" s="1">
        <v>38289</v>
      </c>
      <c r="N1853">
        <v>2004</v>
      </c>
    </row>
    <row r="1854" spans="1:14">
      <c r="A1854" t="s">
        <v>14</v>
      </c>
      <c r="B1854" t="str">
        <f>"112707200500"</f>
        <v>112707200500</v>
      </c>
      <c r="C1854" t="s">
        <v>1277</v>
      </c>
      <c r="D1854" t="s">
        <v>70</v>
      </c>
      <c r="G1854" t="s">
        <v>17</v>
      </c>
      <c r="H1854" t="s">
        <v>39</v>
      </c>
      <c r="I1854" t="s">
        <v>104</v>
      </c>
      <c r="J1854" t="s">
        <v>105</v>
      </c>
      <c r="K1854" t="s">
        <v>481</v>
      </c>
      <c r="L1854" t="s">
        <v>22</v>
      </c>
      <c r="M1854" s="1">
        <v>38560</v>
      </c>
      <c r="N1854">
        <v>2005</v>
      </c>
    </row>
    <row r="1855" spans="1:14">
      <c r="A1855" t="s">
        <v>14</v>
      </c>
      <c r="B1855" t="str">
        <f>"110404200400"</f>
        <v>110404200400</v>
      </c>
      <c r="C1855" t="s">
        <v>1290</v>
      </c>
      <c r="D1855" t="s">
        <v>653</v>
      </c>
      <c r="G1855" t="s">
        <v>17</v>
      </c>
      <c r="H1855" t="s">
        <v>39</v>
      </c>
      <c r="I1855" t="s">
        <v>104</v>
      </c>
      <c r="J1855" t="s">
        <v>105</v>
      </c>
      <c r="K1855" t="s">
        <v>106</v>
      </c>
      <c r="L1855" t="s">
        <v>22</v>
      </c>
      <c r="M1855" s="1">
        <v>38081</v>
      </c>
      <c r="N1855">
        <v>2004</v>
      </c>
    </row>
    <row r="1856" spans="1:14">
      <c r="A1856" t="s">
        <v>14</v>
      </c>
      <c r="B1856" t="str">
        <f>"112002200401"</f>
        <v>112002200401</v>
      </c>
      <c r="C1856" t="s">
        <v>1366</v>
      </c>
      <c r="D1856" t="s">
        <v>98</v>
      </c>
      <c r="G1856" t="s">
        <v>17</v>
      </c>
      <c r="H1856" t="s">
        <v>39</v>
      </c>
      <c r="I1856" t="s">
        <v>104</v>
      </c>
      <c r="J1856" t="s">
        <v>105</v>
      </c>
      <c r="K1856" t="s">
        <v>792</v>
      </c>
      <c r="L1856" t="s">
        <v>22</v>
      </c>
      <c r="M1856" s="1">
        <v>38037</v>
      </c>
      <c r="N1856">
        <v>2004</v>
      </c>
    </row>
    <row r="1857" spans="1:14">
      <c r="A1857" t="s">
        <v>14</v>
      </c>
      <c r="B1857" t="str">
        <f>"113103200400"</f>
        <v>113103200400</v>
      </c>
      <c r="C1857" t="s">
        <v>1376</v>
      </c>
      <c r="D1857" t="s">
        <v>155</v>
      </c>
      <c r="G1857" t="s">
        <v>17</v>
      </c>
      <c r="H1857" t="s">
        <v>39</v>
      </c>
      <c r="I1857" t="s">
        <v>104</v>
      </c>
      <c r="J1857" t="s">
        <v>105</v>
      </c>
      <c r="K1857" t="s">
        <v>481</v>
      </c>
      <c r="L1857" t="s">
        <v>22</v>
      </c>
      <c r="M1857" s="1">
        <v>38077</v>
      </c>
      <c r="N1857">
        <v>2004</v>
      </c>
    </row>
    <row r="1858" spans="1:14">
      <c r="A1858" t="s">
        <v>14</v>
      </c>
      <c r="B1858" t="str">
        <f>"111705200400"</f>
        <v>111705200400</v>
      </c>
      <c r="C1858" t="s">
        <v>1435</v>
      </c>
      <c r="D1858" t="s">
        <v>155</v>
      </c>
      <c r="G1858" t="s">
        <v>17</v>
      </c>
      <c r="H1858" t="s">
        <v>39</v>
      </c>
      <c r="I1858" t="s">
        <v>104</v>
      </c>
      <c r="J1858" t="s">
        <v>105</v>
      </c>
      <c r="K1858" t="s">
        <v>106</v>
      </c>
      <c r="L1858" t="s">
        <v>22</v>
      </c>
      <c r="M1858" s="1">
        <v>38124</v>
      </c>
      <c r="N1858">
        <v>2004</v>
      </c>
    </row>
    <row r="1859" spans="1:14">
      <c r="A1859" t="s">
        <v>14</v>
      </c>
      <c r="B1859" t="str">
        <f>"112101200400"</f>
        <v>112101200400</v>
      </c>
      <c r="C1859" t="s">
        <v>1493</v>
      </c>
      <c r="D1859" t="s">
        <v>387</v>
      </c>
      <c r="G1859" t="s">
        <v>17</v>
      </c>
      <c r="H1859" t="s">
        <v>39</v>
      </c>
      <c r="I1859" t="s">
        <v>104</v>
      </c>
      <c r="J1859" t="s">
        <v>105</v>
      </c>
      <c r="K1859" t="s">
        <v>481</v>
      </c>
      <c r="L1859" t="s">
        <v>22</v>
      </c>
      <c r="M1859" s="1">
        <v>38007</v>
      </c>
      <c r="N1859">
        <v>2004</v>
      </c>
    </row>
    <row r="1860" spans="1:14">
      <c r="A1860" t="s">
        <v>14</v>
      </c>
      <c r="B1860" t="str">
        <f>"110707200400"</f>
        <v>110707200400</v>
      </c>
      <c r="C1860" t="s">
        <v>1514</v>
      </c>
      <c r="D1860" t="s">
        <v>95</v>
      </c>
      <c r="G1860" t="s">
        <v>17</v>
      </c>
      <c r="H1860" t="s">
        <v>39</v>
      </c>
      <c r="I1860" t="s">
        <v>104</v>
      </c>
      <c r="J1860" t="s">
        <v>105</v>
      </c>
      <c r="K1860" t="s">
        <v>792</v>
      </c>
      <c r="M1860" s="1">
        <v>38175</v>
      </c>
      <c r="N1860">
        <v>2004</v>
      </c>
    </row>
    <row r="1861" spans="1:14">
      <c r="A1861" t="s">
        <v>14</v>
      </c>
      <c r="B1861" t="str">
        <f>"110706200400"</f>
        <v>110706200400</v>
      </c>
      <c r="C1861" t="s">
        <v>1655</v>
      </c>
      <c r="D1861" t="s">
        <v>373</v>
      </c>
      <c r="G1861" t="s">
        <v>17</v>
      </c>
      <c r="H1861" t="s">
        <v>39</v>
      </c>
      <c r="I1861" t="s">
        <v>104</v>
      </c>
      <c r="J1861" t="s">
        <v>105</v>
      </c>
      <c r="K1861" t="s">
        <v>481</v>
      </c>
      <c r="L1861" t="s">
        <v>22</v>
      </c>
      <c r="M1861" s="1">
        <v>38145</v>
      </c>
      <c r="N1861">
        <v>2004</v>
      </c>
    </row>
    <row r="1862" spans="1:14">
      <c r="A1862" t="s">
        <v>14</v>
      </c>
      <c r="B1862" t="str">
        <f>"111611200400"</f>
        <v>111611200400</v>
      </c>
      <c r="C1862" t="s">
        <v>1721</v>
      </c>
      <c r="D1862" t="s">
        <v>259</v>
      </c>
      <c r="G1862" t="s">
        <v>17</v>
      </c>
      <c r="H1862" t="s">
        <v>39</v>
      </c>
      <c r="I1862" t="s">
        <v>104</v>
      </c>
      <c r="J1862" t="s">
        <v>105</v>
      </c>
      <c r="K1862" t="s">
        <v>481</v>
      </c>
      <c r="L1862" t="s">
        <v>22</v>
      </c>
      <c r="M1862" s="1">
        <v>38307</v>
      </c>
      <c r="N1862">
        <v>2004</v>
      </c>
    </row>
    <row r="1863" spans="1:14">
      <c r="A1863" t="s">
        <v>14</v>
      </c>
      <c r="B1863" t="str">
        <f>"112705200400"</f>
        <v>112705200400</v>
      </c>
      <c r="C1863" t="s">
        <v>1787</v>
      </c>
      <c r="D1863" t="s">
        <v>129</v>
      </c>
      <c r="G1863" t="s">
        <v>17</v>
      </c>
      <c r="H1863" t="s">
        <v>39</v>
      </c>
      <c r="I1863" t="s">
        <v>104</v>
      </c>
      <c r="J1863" t="s">
        <v>105</v>
      </c>
      <c r="K1863" t="s">
        <v>481</v>
      </c>
      <c r="L1863" t="s">
        <v>22</v>
      </c>
      <c r="M1863" s="1">
        <v>38134</v>
      </c>
      <c r="N1863">
        <v>2004</v>
      </c>
    </row>
    <row r="1864" spans="1:14">
      <c r="A1864" t="s">
        <v>14</v>
      </c>
      <c r="B1864" t="str">
        <f>"110202200402"</f>
        <v>110202200402</v>
      </c>
      <c r="C1864" t="s">
        <v>1851</v>
      </c>
      <c r="D1864" t="s">
        <v>100</v>
      </c>
      <c r="G1864" t="s">
        <v>17</v>
      </c>
      <c r="H1864" t="s">
        <v>39</v>
      </c>
      <c r="I1864" t="s">
        <v>104</v>
      </c>
      <c r="J1864" t="s">
        <v>105</v>
      </c>
      <c r="K1864" t="s">
        <v>458</v>
      </c>
      <c r="L1864" t="s">
        <v>22</v>
      </c>
      <c r="M1864" s="1">
        <v>38019</v>
      </c>
      <c r="N1864">
        <v>2004</v>
      </c>
    </row>
    <row r="1865" spans="1:14">
      <c r="A1865" t="s">
        <v>14</v>
      </c>
      <c r="B1865" t="str">
        <f>"110808200400"</f>
        <v>110808200400</v>
      </c>
      <c r="C1865" t="s">
        <v>1989</v>
      </c>
      <c r="D1865" t="s">
        <v>259</v>
      </c>
      <c r="G1865" t="s">
        <v>17</v>
      </c>
      <c r="H1865" t="s">
        <v>39</v>
      </c>
      <c r="I1865" t="s">
        <v>104</v>
      </c>
      <c r="J1865" t="s">
        <v>105</v>
      </c>
      <c r="K1865" t="s">
        <v>484</v>
      </c>
      <c r="L1865" t="s">
        <v>22</v>
      </c>
      <c r="M1865" s="1">
        <v>38207</v>
      </c>
      <c r="N1865">
        <v>2004</v>
      </c>
    </row>
    <row r="1866" spans="1:14">
      <c r="A1866" t="s">
        <v>14</v>
      </c>
      <c r="B1866" t="str">
        <f>"112412200400"</f>
        <v>112412200400</v>
      </c>
      <c r="C1866" t="s">
        <v>2041</v>
      </c>
      <c r="D1866" t="s">
        <v>24</v>
      </c>
      <c r="G1866" t="s">
        <v>17</v>
      </c>
      <c r="H1866" t="s">
        <v>39</v>
      </c>
      <c r="I1866" t="s">
        <v>104</v>
      </c>
      <c r="J1866" t="s">
        <v>105</v>
      </c>
      <c r="K1866" t="s">
        <v>484</v>
      </c>
      <c r="M1866" s="1">
        <v>38345</v>
      </c>
      <c r="N1866">
        <v>2004</v>
      </c>
    </row>
    <row r="1867" spans="1:14">
      <c r="A1867" t="s">
        <v>14</v>
      </c>
      <c r="B1867" t="str">
        <f>"111405200400"</f>
        <v>111405200400</v>
      </c>
      <c r="C1867" t="s">
        <v>2053</v>
      </c>
      <c r="D1867" t="s">
        <v>115</v>
      </c>
      <c r="G1867" t="s">
        <v>17</v>
      </c>
      <c r="H1867" t="s">
        <v>39</v>
      </c>
      <c r="I1867" t="s">
        <v>104</v>
      </c>
      <c r="J1867" t="s">
        <v>105</v>
      </c>
      <c r="K1867" t="s">
        <v>481</v>
      </c>
      <c r="L1867" t="s">
        <v>22</v>
      </c>
      <c r="M1867" s="1">
        <v>38121</v>
      </c>
      <c r="N1867">
        <v>2004</v>
      </c>
    </row>
    <row r="1868" spans="1:14">
      <c r="A1868" t="s">
        <v>14</v>
      </c>
      <c r="B1868" t="str">
        <f>"110408200501"</f>
        <v>110408200501</v>
      </c>
      <c r="C1868" t="s">
        <v>2058</v>
      </c>
      <c r="D1868" t="s">
        <v>89</v>
      </c>
      <c r="G1868" t="s">
        <v>17</v>
      </c>
      <c r="H1868" t="s">
        <v>39</v>
      </c>
      <c r="I1868" t="s">
        <v>104</v>
      </c>
      <c r="J1868" t="s">
        <v>105</v>
      </c>
      <c r="K1868" t="s">
        <v>106</v>
      </c>
      <c r="L1868" t="s">
        <v>22</v>
      </c>
      <c r="M1868" s="1">
        <v>38568</v>
      </c>
      <c r="N1868">
        <v>2005</v>
      </c>
    </row>
    <row r="1869" spans="1:14">
      <c r="A1869" t="s">
        <v>14</v>
      </c>
      <c r="B1869" t="str">
        <f>"110111200400"</f>
        <v>110111200400</v>
      </c>
      <c r="C1869" t="s">
        <v>2387</v>
      </c>
      <c r="D1869" t="s">
        <v>373</v>
      </c>
      <c r="G1869" t="s">
        <v>17</v>
      </c>
      <c r="H1869" t="s">
        <v>39</v>
      </c>
      <c r="I1869" t="s">
        <v>104</v>
      </c>
      <c r="J1869" t="s">
        <v>105</v>
      </c>
      <c r="K1869" t="s">
        <v>484</v>
      </c>
      <c r="L1869" t="s">
        <v>22</v>
      </c>
      <c r="M1869" s="1">
        <v>38292</v>
      </c>
      <c r="N1869">
        <v>2004</v>
      </c>
    </row>
    <row r="1870" spans="1:14">
      <c r="A1870" t="s">
        <v>14</v>
      </c>
      <c r="B1870" t="str">
        <f>"110805200500"</f>
        <v>110805200500</v>
      </c>
      <c r="C1870" t="s">
        <v>2657</v>
      </c>
      <c r="D1870" t="s">
        <v>155</v>
      </c>
      <c r="G1870" t="s">
        <v>17</v>
      </c>
      <c r="H1870" t="s">
        <v>39</v>
      </c>
      <c r="I1870" t="s">
        <v>104</v>
      </c>
      <c r="J1870" t="s">
        <v>105</v>
      </c>
      <c r="K1870" t="s">
        <v>481</v>
      </c>
      <c r="L1870" t="s">
        <v>22</v>
      </c>
      <c r="M1870" s="1">
        <v>38480</v>
      </c>
      <c r="N1870">
        <v>2005</v>
      </c>
    </row>
    <row r="1871" spans="1:14">
      <c r="A1871" t="s">
        <v>14</v>
      </c>
      <c r="B1871" t="str">
        <f>"111205200500"</f>
        <v>111205200500</v>
      </c>
      <c r="C1871" t="s">
        <v>2730</v>
      </c>
      <c r="D1871" t="s">
        <v>53</v>
      </c>
      <c r="G1871" t="s">
        <v>17</v>
      </c>
      <c r="H1871" t="s">
        <v>39</v>
      </c>
      <c r="I1871" t="s">
        <v>104</v>
      </c>
      <c r="J1871" t="s">
        <v>105</v>
      </c>
      <c r="K1871" t="s">
        <v>106</v>
      </c>
      <c r="L1871" t="s">
        <v>22</v>
      </c>
      <c r="M1871" s="1">
        <v>38484</v>
      </c>
      <c r="N1871">
        <v>2005</v>
      </c>
    </row>
    <row r="1872" spans="1:14">
      <c r="A1872" t="s">
        <v>14</v>
      </c>
      <c r="B1872" t="str">
        <f>"110608200400"</f>
        <v>110608200400</v>
      </c>
      <c r="C1872" t="s">
        <v>2831</v>
      </c>
      <c r="D1872" t="s">
        <v>382</v>
      </c>
      <c r="G1872" t="s">
        <v>17</v>
      </c>
      <c r="H1872" t="s">
        <v>39</v>
      </c>
      <c r="I1872" t="s">
        <v>104</v>
      </c>
      <c r="J1872" t="s">
        <v>105</v>
      </c>
      <c r="K1872" t="s">
        <v>481</v>
      </c>
      <c r="L1872" t="s">
        <v>22</v>
      </c>
      <c r="M1872" s="1">
        <v>38205</v>
      </c>
      <c r="N1872">
        <v>2004</v>
      </c>
    </row>
    <row r="1873" spans="1:14">
      <c r="A1873" t="s">
        <v>14</v>
      </c>
      <c r="B1873" t="str">
        <f>"111601200201"</f>
        <v>111601200201</v>
      </c>
      <c r="C1873" t="s">
        <v>381</v>
      </c>
      <c r="D1873" t="s">
        <v>382</v>
      </c>
      <c r="G1873" t="s">
        <v>17</v>
      </c>
      <c r="H1873" t="s">
        <v>51</v>
      </c>
      <c r="I1873" t="s">
        <v>104</v>
      </c>
      <c r="J1873" t="s">
        <v>105</v>
      </c>
      <c r="K1873" t="s">
        <v>153</v>
      </c>
      <c r="L1873" t="s">
        <v>22</v>
      </c>
      <c r="M1873" s="1">
        <v>37272</v>
      </c>
      <c r="N1873">
        <v>2002</v>
      </c>
    </row>
    <row r="1874" spans="1:14">
      <c r="A1874" t="s">
        <v>14</v>
      </c>
      <c r="B1874" t="str">
        <f>"111708200300"</f>
        <v>111708200300</v>
      </c>
      <c r="C1874" t="s">
        <v>577</v>
      </c>
      <c r="D1874" t="s">
        <v>16</v>
      </c>
      <c r="G1874" t="s">
        <v>17</v>
      </c>
      <c r="H1874" t="s">
        <v>51</v>
      </c>
      <c r="I1874" t="s">
        <v>104</v>
      </c>
      <c r="J1874" t="s">
        <v>105</v>
      </c>
      <c r="K1874" t="s">
        <v>481</v>
      </c>
      <c r="L1874" t="s">
        <v>22</v>
      </c>
      <c r="M1874" s="1">
        <v>37850</v>
      </c>
      <c r="N1874">
        <v>2003</v>
      </c>
    </row>
    <row r="1875" spans="1:14">
      <c r="A1875" t="s">
        <v>14</v>
      </c>
      <c r="B1875" t="str">
        <f>"112812200200"</f>
        <v>112812200200</v>
      </c>
      <c r="C1875" t="s">
        <v>660</v>
      </c>
      <c r="D1875" t="s">
        <v>209</v>
      </c>
      <c r="G1875" t="s">
        <v>17</v>
      </c>
      <c r="H1875" t="s">
        <v>51</v>
      </c>
      <c r="I1875" t="s">
        <v>104</v>
      </c>
      <c r="J1875" t="s">
        <v>105</v>
      </c>
      <c r="K1875" t="s">
        <v>153</v>
      </c>
      <c r="L1875" t="s">
        <v>22</v>
      </c>
      <c r="M1875" s="1">
        <v>37618</v>
      </c>
      <c r="N1875">
        <v>2002</v>
      </c>
    </row>
    <row r="1876" spans="1:14">
      <c r="A1876" t="s">
        <v>14</v>
      </c>
      <c r="B1876" t="str">
        <f>"112302200301"</f>
        <v>112302200301</v>
      </c>
      <c r="C1876" t="s">
        <v>791</v>
      </c>
      <c r="D1876" t="s">
        <v>70</v>
      </c>
      <c r="G1876" t="s">
        <v>17</v>
      </c>
      <c r="H1876" t="s">
        <v>51</v>
      </c>
      <c r="I1876" t="s">
        <v>104</v>
      </c>
      <c r="J1876" t="s">
        <v>105</v>
      </c>
      <c r="K1876" t="s">
        <v>792</v>
      </c>
      <c r="L1876" t="s">
        <v>63</v>
      </c>
      <c r="M1876" s="1">
        <v>37675</v>
      </c>
      <c r="N1876">
        <v>2003</v>
      </c>
    </row>
    <row r="1877" spans="1:14">
      <c r="A1877" t="s">
        <v>14</v>
      </c>
      <c r="B1877" t="str">
        <f>"110902200300"</f>
        <v>110902200300</v>
      </c>
      <c r="C1877" t="s">
        <v>836</v>
      </c>
      <c r="D1877" t="s">
        <v>50</v>
      </c>
      <c r="G1877" t="s">
        <v>17</v>
      </c>
      <c r="H1877" t="s">
        <v>51</v>
      </c>
      <c r="I1877" t="s">
        <v>104</v>
      </c>
      <c r="J1877" t="s">
        <v>105</v>
      </c>
      <c r="K1877" t="s">
        <v>106</v>
      </c>
      <c r="L1877" t="s">
        <v>22</v>
      </c>
      <c r="M1877" s="1">
        <v>37661</v>
      </c>
      <c r="N1877">
        <v>2003</v>
      </c>
    </row>
    <row r="1878" spans="1:14">
      <c r="A1878" t="s">
        <v>14</v>
      </c>
      <c r="B1878" t="str">
        <f>"112204200300"</f>
        <v>112204200300</v>
      </c>
      <c r="C1878" t="s">
        <v>904</v>
      </c>
      <c r="D1878" t="s">
        <v>98</v>
      </c>
      <c r="G1878" t="s">
        <v>17</v>
      </c>
      <c r="H1878" t="s">
        <v>51</v>
      </c>
      <c r="I1878" t="s">
        <v>104</v>
      </c>
      <c r="J1878" t="s">
        <v>105</v>
      </c>
      <c r="K1878" t="s">
        <v>905</v>
      </c>
      <c r="L1878" t="s">
        <v>22</v>
      </c>
      <c r="M1878" s="1">
        <v>37733</v>
      </c>
      <c r="N1878">
        <v>2003</v>
      </c>
    </row>
    <row r="1879" spans="1:14">
      <c r="A1879" t="s">
        <v>14</v>
      </c>
      <c r="B1879" t="str">
        <f>"112604200300"</f>
        <v>112604200300</v>
      </c>
      <c r="C1879" t="s">
        <v>1029</v>
      </c>
      <c r="D1879" t="s">
        <v>209</v>
      </c>
      <c r="G1879" t="s">
        <v>17</v>
      </c>
      <c r="H1879" t="s">
        <v>51</v>
      </c>
      <c r="I1879" t="s">
        <v>104</v>
      </c>
      <c r="J1879" t="s">
        <v>105</v>
      </c>
      <c r="K1879" t="s">
        <v>153</v>
      </c>
      <c r="L1879" t="s">
        <v>22</v>
      </c>
      <c r="M1879" s="1">
        <v>37737</v>
      </c>
      <c r="N1879">
        <v>2003</v>
      </c>
    </row>
    <row r="1880" spans="1:14">
      <c r="A1880" t="s">
        <v>14</v>
      </c>
      <c r="B1880" t="str">
        <f>"110702200300"</f>
        <v>110702200300</v>
      </c>
      <c r="C1880" t="s">
        <v>1036</v>
      </c>
      <c r="D1880" t="s">
        <v>886</v>
      </c>
      <c r="G1880" t="s">
        <v>17</v>
      </c>
      <c r="H1880" t="s">
        <v>51</v>
      </c>
      <c r="I1880" t="s">
        <v>104</v>
      </c>
      <c r="J1880" t="s">
        <v>105</v>
      </c>
      <c r="K1880" t="s">
        <v>106</v>
      </c>
      <c r="L1880" t="s">
        <v>63</v>
      </c>
      <c r="M1880" s="1">
        <v>37659</v>
      </c>
      <c r="N1880">
        <v>2003</v>
      </c>
    </row>
    <row r="1881" spans="1:14">
      <c r="A1881" t="s">
        <v>14</v>
      </c>
      <c r="B1881" t="str">
        <f>"111812200300"</f>
        <v>111812200300</v>
      </c>
      <c r="C1881" t="s">
        <v>1148</v>
      </c>
      <c r="D1881" t="s">
        <v>16</v>
      </c>
      <c r="G1881" t="s">
        <v>17</v>
      </c>
      <c r="H1881" t="s">
        <v>51</v>
      </c>
      <c r="I1881" t="s">
        <v>104</v>
      </c>
      <c r="J1881" t="s">
        <v>105</v>
      </c>
      <c r="K1881" t="s">
        <v>333</v>
      </c>
      <c r="L1881" t="s">
        <v>22</v>
      </c>
      <c r="M1881" s="1">
        <v>37973</v>
      </c>
      <c r="N1881">
        <v>2003</v>
      </c>
    </row>
    <row r="1882" spans="1:14">
      <c r="A1882" t="s">
        <v>14</v>
      </c>
      <c r="B1882" t="str">
        <f>"112704200300"</f>
        <v>112704200300</v>
      </c>
      <c r="C1882" t="s">
        <v>1224</v>
      </c>
      <c r="D1882" t="s">
        <v>344</v>
      </c>
      <c r="G1882" t="s">
        <v>17</v>
      </c>
      <c r="H1882" t="s">
        <v>51</v>
      </c>
      <c r="I1882" t="s">
        <v>104</v>
      </c>
      <c r="J1882" t="s">
        <v>105</v>
      </c>
      <c r="K1882" t="s">
        <v>330</v>
      </c>
      <c r="L1882" t="s">
        <v>22</v>
      </c>
      <c r="M1882" s="1">
        <v>37738</v>
      </c>
      <c r="N1882">
        <v>2003</v>
      </c>
    </row>
    <row r="1883" spans="1:14">
      <c r="A1883" t="s">
        <v>14</v>
      </c>
      <c r="B1883" t="str">
        <f>"110212200300"</f>
        <v>110212200300</v>
      </c>
      <c r="C1883" t="s">
        <v>1239</v>
      </c>
      <c r="D1883" t="s">
        <v>342</v>
      </c>
      <c r="G1883" t="s">
        <v>17</v>
      </c>
      <c r="H1883" t="s">
        <v>51</v>
      </c>
      <c r="I1883" t="s">
        <v>104</v>
      </c>
      <c r="J1883" t="s">
        <v>105</v>
      </c>
      <c r="K1883" t="s">
        <v>153</v>
      </c>
      <c r="L1883" t="s">
        <v>22</v>
      </c>
      <c r="M1883" s="1">
        <v>37957</v>
      </c>
      <c r="N1883">
        <v>2003</v>
      </c>
    </row>
    <row r="1884" spans="1:14">
      <c r="A1884" t="s">
        <v>14</v>
      </c>
      <c r="B1884" t="str">
        <f>"110804200300"</f>
        <v>110804200300</v>
      </c>
      <c r="C1884" t="s">
        <v>1282</v>
      </c>
      <c r="D1884" t="s">
        <v>1283</v>
      </c>
      <c r="G1884" t="s">
        <v>17</v>
      </c>
      <c r="H1884" t="s">
        <v>51</v>
      </c>
      <c r="I1884" t="s">
        <v>104</v>
      </c>
      <c r="J1884" t="s">
        <v>105</v>
      </c>
      <c r="K1884" t="s">
        <v>153</v>
      </c>
      <c r="L1884" t="s">
        <v>22</v>
      </c>
      <c r="M1884" s="1">
        <v>37719</v>
      </c>
      <c r="N1884">
        <v>2003</v>
      </c>
    </row>
    <row r="1885" spans="1:14">
      <c r="A1885" t="s">
        <v>14</v>
      </c>
      <c r="B1885" t="str">
        <f>"111201200300"</f>
        <v>111201200300</v>
      </c>
      <c r="C1885" t="s">
        <v>1391</v>
      </c>
      <c r="D1885" t="s">
        <v>373</v>
      </c>
      <c r="G1885" t="s">
        <v>17</v>
      </c>
      <c r="H1885" t="s">
        <v>51</v>
      </c>
      <c r="I1885" t="s">
        <v>104</v>
      </c>
      <c r="J1885" t="s">
        <v>105</v>
      </c>
      <c r="K1885" t="s">
        <v>905</v>
      </c>
      <c r="L1885" t="s">
        <v>22</v>
      </c>
      <c r="M1885" s="1">
        <v>37633</v>
      </c>
      <c r="N1885">
        <v>2003</v>
      </c>
    </row>
    <row r="1886" spans="1:14">
      <c r="A1886" t="s">
        <v>14</v>
      </c>
      <c r="B1886" t="str">
        <f>"111101200302"</f>
        <v>111101200302</v>
      </c>
      <c r="C1886" t="s">
        <v>1399</v>
      </c>
      <c r="D1886" t="s">
        <v>50</v>
      </c>
      <c r="G1886" t="s">
        <v>17</v>
      </c>
      <c r="H1886" t="s">
        <v>51</v>
      </c>
      <c r="I1886" t="s">
        <v>104</v>
      </c>
      <c r="J1886" t="s">
        <v>105</v>
      </c>
      <c r="K1886" t="s">
        <v>330</v>
      </c>
      <c r="M1886" s="1">
        <v>37632</v>
      </c>
      <c r="N1886">
        <v>2003</v>
      </c>
    </row>
    <row r="1887" spans="1:14">
      <c r="A1887" t="s">
        <v>14</v>
      </c>
      <c r="B1887" t="str">
        <f>"112512200201"</f>
        <v>112512200201</v>
      </c>
      <c r="C1887" t="s">
        <v>1411</v>
      </c>
      <c r="D1887" t="s">
        <v>98</v>
      </c>
      <c r="G1887" t="s">
        <v>17</v>
      </c>
      <c r="H1887" t="s">
        <v>51</v>
      </c>
      <c r="I1887" t="s">
        <v>104</v>
      </c>
      <c r="J1887" t="s">
        <v>105</v>
      </c>
      <c r="K1887" t="s">
        <v>333</v>
      </c>
      <c r="L1887" t="s">
        <v>22</v>
      </c>
      <c r="M1887" s="1">
        <v>37615</v>
      </c>
      <c r="N1887">
        <v>2002</v>
      </c>
    </row>
    <row r="1888" spans="1:14">
      <c r="A1888" t="s">
        <v>14</v>
      </c>
      <c r="B1888" t="str">
        <f>"110703200301"</f>
        <v>110703200301</v>
      </c>
      <c r="C1888" t="s">
        <v>1481</v>
      </c>
      <c r="D1888" t="s">
        <v>89</v>
      </c>
      <c r="G1888" t="s">
        <v>17</v>
      </c>
      <c r="H1888" t="s">
        <v>51</v>
      </c>
      <c r="I1888" t="s">
        <v>104</v>
      </c>
      <c r="J1888" t="s">
        <v>105</v>
      </c>
      <c r="K1888" t="s">
        <v>333</v>
      </c>
      <c r="L1888" t="s">
        <v>22</v>
      </c>
      <c r="M1888" s="1">
        <v>37687</v>
      </c>
      <c r="N1888">
        <v>2003</v>
      </c>
    </row>
    <row r="1889" spans="1:14">
      <c r="A1889" t="s">
        <v>14</v>
      </c>
      <c r="B1889" t="str">
        <f>"112801200201"</f>
        <v>112801200201</v>
      </c>
      <c r="C1889" t="s">
        <v>1498</v>
      </c>
      <c r="D1889" t="s">
        <v>115</v>
      </c>
      <c r="G1889" t="s">
        <v>17</v>
      </c>
      <c r="H1889" t="s">
        <v>51</v>
      </c>
      <c r="I1889" t="s">
        <v>104</v>
      </c>
      <c r="J1889" t="s">
        <v>105</v>
      </c>
      <c r="K1889" t="s">
        <v>1212</v>
      </c>
      <c r="L1889" t="s">
        <v>22</v>
      </c>
      <c r="M1889" s="1">
        <v>37284</v>
      </c>
      <c r="N1889">
        <v>2002</v>
      </c>
    </row>
    <row r="1890" spans="1:14">
      <c r="A1890" t="s">
        <v>14</v>
      </c>
      <c r="B1890" t="str">
        <f>"110701200201"</f>
        <v>110701200201</v>
      </c>
      <c r="C1890" t="s">
        <v>1556</v>
      </c>
      <c r="D1890" t="s">
        <v>392</v>
      </c>
      <c r="G1890" t="s">
        <v>17</v>
      </c>
      <c r="H1890" t="s">
        <v>51</v>
      </c>
      <c r="I1890" t="s">
        <v>104</v>
      </c>
      <c r="J1890" t="s">
        <v>105</v>
      </c>
      <c r="K1890" t="s">
        <v>106</v>
      </c>
      <c r="L1890" t="s">
        <v>22</v>
      </c>
      <c r="M1890" s="1">
        <v>37263</v>
      </c>
      <c r="N1890">
        <v>2002</v>
      </c>
    </row>
    <row r="1891" spans="1:14">
      <c r="A1891" t="s">
        <v>14</v>
      </c>
      <c r="B1891" t="str">
        <f>"110304200300"</f>
        <v>110304200300</v>
      </c>
      <c r="C1891" t="s">
        <v>1557</v>
      </c>
      <c r="D1891" t="s">
        <v>209</v>
      </c>
      <c r="G1891" t="s">
        <v>17</v>
      </c>
      <c r="H1891" t="s">
        <v>51</v>
      </c>
      <c r="I1891" t="s">
        <v>104</v>
      </c>
      <c r="J1891" t="s">
        <v>105</v>
      </c>
      <c r="K1891" t="s">
        <v>333</v>
      </c>
      <c r="L1891" t="s">
        <v>22</v>
      </c>
      <c r="M1891" s="1">
        <v>37714</v>
      </c>
      <c r="N1891">
        <v>2003</v>
      </c>
    </row>
    <row r="1892" spans="1:14">
      <c r="A1892" t="s">
        <v>14</v>
      </c>
      <c r="B1892" t="str">
        <f>"111210200300"</f>
        <v>111210200300</v>
      </c>
      <c r="C1892" t="s">
        <v>1587</v>
      </c>
      <c r="D1892" t="s">
        <v>115</v>
      </c>
      <c r="G1892" t="s">
        <v>17</v>
      </c>
      <c r="H1892" t="s">
        <v>51</v>
      </c>
      <c r="I1892" t="s">
        <v>104</v>
      </c>
      <c r="J1892" t="s">
        <v>105</v>
      </c>
      <c r="K1892" t="s">
        <v>333</v>
      </c>
      <c r="L1892" t="s">
        <v>22</v>
      </c>
      <c r="M1892" s="1">
        <v>37906</v>
      </c>
      <c r="N1892">
        <v>2003</v>
      </c>
    </row>
    <row r="1893" spans="1:14">
      <c r="A1893" t="s">
        <v>14</v>
      </c>
      <c r="B1893" t="str">
        <f>"111111200200"</f>
        <v>111111200200</v>
      </c>
      <c r="C1893" t="s">
        <v>1603</v>
      </c>
      <c r="D1893" t="s">
        <v>344</v>
      </c>
      <c r="G1893" t="s">
        <v>17</v>
      </c>
      <c r="H1893" t="s">
        <v>51</v>
      </c>
      <c r="I1893" t="s">
        <v>104</v>
      </c>
      <c r="J1893" t="s">
        <v>105</v>
      </c>
      <c r="K1893" t="s">
        <v>153</v>
      </c>
      <c r="M1893" s="1">
        <v>37571</v>
      </c>
      <c r="N1893">
        <v>2002</v>
      </c>
    </row>
    <row r="1894" spans="1:14">
      <c r="A1894" t="s">
        <v>14</v>
      </c>
      <c r="B1894" t="str">
        <f>"110903200301"</f>
        <v>110903200301</v>
      </c>
      <c r="C1894" t="s">
        <v>1604</v>
      </c>
      <c r="D1894" t="s">
        <v>70</v>
      </c>
      <c r="G1894" t="s">
        <v>17</v>
      </c>
      <c r="H1894" t="s">
        <v>51</v>
      </c>
      <c r="I1894" t="s">
        <v>104</v>
      </c>
      <c r="J1894" t="s">
        <v>105</v>
      </c>
      <c r="K1894" t="s">
        <v>295</v>
      </c>
      <c r="L1894" t="s">
        <v>63</v>
      </c>
      <c r="M1894" s="1">
        <v>37689</v>
      </c>
      <c r="N1894">
        <v>2003</v>
      </c>
    </row>
    <row r="1895" spans="1:14">
      <c r="A1895" t="s">
        <v>14</v>
      </c>
      <c r="B1895" t="str">
        <f>"110907200201"</f>
        <v>110907200201</v>
      </c>
      <c r="C1895" t="s">
        <v>1676</v>
      </c>
      <c r="D1895" t="s">
        <v>95</v>
      </c>
      <c r="G1895" t="s">
        <v>17</v>
      </c>
      <c r="H1895" t="s">
        <v>51</v>
      </c>
      <c r="I1895" t="s">
        <v>104</v>
      </c>
      <c r="J1895" t="s">
        <v>105</v>
      </c>
      <c r="K1895" t="s">
        <v>307</v>
      </c>
      <c r="L1895" t="s">
        <v>63</v>
      </c>
      <c r="M1895" s="1">
        <v>37446</v>
      </c>
      <c r="N1895">
        <v>2002</v>
      </c>
    </row>
    <row r="1896" spans="1:14">
      <c r="A1896" t="s">
        <v>14</v>
      </c>
      <c r="B1896" t="str">
        <f>"112708200300"</f>
        <v>112708200300</v>
      </c>
      <c r="C1896" t="s">
        <v>1712</v>
      </c>
      <c r="D1896" t="s">
        <v>558</v>
      </c>
      <c r="G1896" t="s">
        <v>17</v>
      </c>
      <c r="H1896" t="s">
        <v>51</v>
      </c>
      <c r="I1896" t="s">
        <v>104</v>
      </c>
      <c r="J1896" t="s">
        <v>105</v>
      </c>
      <c r="K1896" t="s">
        <v>472</v>
      </c>
      <c r="L1896" t="s">
        <v>22</v>
      </c>
      <c r="M1896" s="1">
        <v>37860</v>
      </c>
      <c r="N1896">
        <v>2003</v>
      </c>
    </row>
    <row r="1897" spans="1:14">
      <c r="A1897" t="s">
        <v>14</v>
      </c>
      <c r="B1897" t="str">
        <f>"112202200200"</f>
        <v>112202200200</v>
      </c>
      <c r="C1897" t="s">
        <v>1723</v>
      </c>
      <c r="D1897" t="s">
        <v>100</v>
      </c>
      <c r="G1897" t="s">
        <v>17</v>
      </c>
      <c r="H1897" t="s">
        <v>51</v>
      </c>
      <c r="I1897" t="s">
        <v>104</v>
      </c>
      <c r="J1897" t="s">
        <v>105</v>
      </c>
      <c r="K1897" t="s">
        <v>295</v>
      </c>
      <c r="L1897" t="s">
        <v>63</v>
      </c>
      <c r="M1897" s="1">
        <v>37309</v>
      </c>
      <c r="N1897">
        <v>2002</v>
      </c>
    </row>
    <row r="1898" spans="1:14">
      <c r="A1898" t="s">
        <v>14</v>
      </c>
      <c r="B1898" t="str">
        <f>"111702200300"</f>
        <v>111702200300</v>
      </c>
      <c r="C1898" t="s">
        <v>1779</v>
      </c>
      <c r="D1898" t="s">
        <v>115</v>
      </c>
      <c r="G1898" t="s">
        <v>17</v>
      </c>
      <c r="H1898" t="s">
        <v>51</v>
      </c>
      <c r="I1898" t="s">
        <v>104</v>
      </c>
      <c r="J1898" t="s">
        <v>105</v>
      </c>
      <c r="K1898" t="s">
        <v>204</v>
      </c>
      <c r="L1898" t="s">
        <v>22</v>
      </c>
      <c r="M1898" s="1">
        <v>37669</v>
      </c>
      <c r="N1898">
        <v>2003</v>
      </c>
    </row>
    <row r="1899" spans="1:14">
      <c r="A1899" t="s">
        <v>14</v>
      </c>
      <c r="B1899" t="str">
        <f>"110401200302"</f>
        <v>110401200302</v>
      </c>
      <c r="C1899" t="s">
        <v>1990</v>
      </c>
      <c r="D1899" t="s">
        <v>143</v>
      </c>
      <c r="G1899" t="s">
        <v>17</v>
      </c>
      <c r="H1899" t="s">
        <v>51</v>
      </c>
      <c r="I1899" t="s">
        <v>104</v>
      </c>
      <c r="J1899" t="s">
        <v>105</v>
      </c>
      <c r="K1899" t="s">
        <v>295</v>
      </c>
      <c r="M1899" s="1">
        <v>37625</v>
      </c>
      <c r="N1899">
        <v>2003</v>
      </c>
    </row>
    <row r="1900" spans="1:14">
      <c r="A1900" t="s">
        <v>14</v>
      </c>
      <c r="B1900" t="str">
        <f>"112012200202"</f>
        <v>112012200202</v>
      </c>
      <c r="C1900" t="s">
        <v>1996</v>
      </c>
      <c r="D1900" t="s">
        <v>113</v>
      </c>
      <c r="G1900" t="s">
        <v>17</v>
      </c>
      <c r="H1900" t="s">
        <v>51</v>
      </c>
      <c r="I1900" t="s">
        <v>104</v>
      </c>
      <c r="J1900" t="s">
        <v>105</v>
      </c>
      <c r="K1900" t="s">
        <v>333</v>
      </c>
      <c r="M1900" s="1">
        <v>37610</v>
      </c>
      <c r="N1900">
        <v>2002</v>
      </c>
    </row>
    <row r="1901" spans="1:14">
      <c r="A1901" t="s">
        <v>14</v>
      </c>
      <c r="B1901" t="str">
        <f>"110403200300"</f>
        <v>110403200300</v>
      </c>
      <c r="C1901" t="s">
        <v>2079</v>
      </c>
      <c r="D1901" t="s">
        <v>221</v>
      </c>
      <c r="G1901" t="s">
        <v>17</v>
      </c>
      <c r="H1901" t="s">
        <v>51</v>
      </c>
      <c r="I1901" t="s">
        <v>104</v>
      </c>
      <c r="J1901" t="s">
        <v>105</v>
      </c>
      <c r="K1901" t="s">
        <v>458</v>
      </c>
      <c r="L1901" t="s">
        <v>22</v>
      </c>
      <c r="M1901" s="1">
        <v>37684</v>
      </c>
      <c r="N1901">
        <v>2003</v>
      </c>
    </row>
    <row r="1902" spans="1:14">
      <c r="A1902" t="s">
        <v>14</v>
      </c>
      <c r="B1902" t="str">
        <f>"112501200201"</f>
        <v>112501200201</v>
      </c>
      <c r="C1902" t="s">
        <v>2410</v>
      </c>
      <c r="D1902" t="s">
        <v>16</v>
      </c>
      <c r="G1902" t="s">
        <v>17</v>
      </c>
      <c r="H1902" t="s">
        <v>51</v>
      </c>
      <c r="I1902" t="s">
        <v>104</v>
      </c>
      <c r="J1902" t="s">
        <v>105</v>
      </c>
      <c r="K1902" t="s">
        <v>153</v>
      </c>
      <c r="L1902" t="s">
        <v>22</v>
      </c>
      <c r="M1902" s="1">
        <v>37281</v>
      </c>
      <c r="N1902">
        <v>2002</v>
      </c>
    </row>
    <row r="1903" spans="1:14">
      <c r="A1903" t="s">
        <v>14</v>
      </c>
      <c r="B1903" t="str">
        <f>"110706200300"</f>
        <v>110706200300</v>
      </c>
      <c r="C1903" t="s">
        <v>2415</v>
      </c>
      <c r="D1903" t="s">
        <v>53</v>
      </c>
      <c r="G1903" t="s">
        <v>17</v>
      </c>
      <c r="H1903" t="s">
        <v>51</v>
      </c>
      <c r="I1903" t="s">
        <v>104</v>
      </c>
      <c r="J1903" t="s">
        <v>105</v>
      </c>
      <c r="K1903" t="s">
        <v>333</v>
      </c>
      <c r="L1903" t="s">
        <v>22</v>
      </c>
      <c r="M1903" s="1">
        <v>37779</v>
      </c>
      <c r="N1903">
        <v>2003</v>
      </c>
    </row>
    <row r="1904" spans="1:14">
      <c r="A1904" t="s">
        <v>14</v>
      </c>
      <c r="B1904" t="str">
        <f>"111401200301"</f>
        <v>111401200301</v>
      </c>
      <c r="C1904" t="s">
        <v>2629</v>
      </c>
      <c r="D1904" t="s">
        <v>653</v>
      </c>
      <c r="G1904" t="s">
        <v>17</v>
      </c>
      <c r="H1904" t="s">
        <v>51</v>
      </c>
      <c r="I1904" t="s">
        <v>104</v>
      </c>
      <c r="J1904" t="s">
        <v>105</v>
      </c>
      <c r="K1904" t="s">
        <v>792</v>
      </c>
      <c r="L1904" t="s">
        <v>22</v>
      </c>
      <c r="M1904" s="1">
        <v>37635</v>
      </c>
      <c r="N1904">
        <v>2003</v>
      </c>
    </row>
    <row r="1905" spans="1:14">
      <c r="A1905" t="s">
        <v>14</v>
      </c>
      <c r="B1905" t="str">
        <f>"111203200301"</f>
        <v>111203200301</v>
      </c>
      <c r="C1905" t="s">
        <v>2665</v>
      </c>
      <c r="D1905" t="s">
        <v>70</v>
      </c>
      <c r="G1905" t="s">
        <v>17</v>
      </c>
      <c r="H1905" t="s">
        <v>51</v>
      </c>
      <c r="I1905" t="s">
        <v>104</v>
      </c>
      <c r="J1905" t="s">
        <v>105</v>
      </c>
      <c r="K1905" t="s">
        <v>153</v>
      </c>
      <c r="L1905" t="s">
        <v>22</v>
      </c>
      <c r="M1905" s="1">
        <v>37692</v>
      </c>
      <c r="N1905">
        <v>2003</v>
      </c>
    </row>
    <row r="1906" spans="1:14">
      <c r="A1906" t="s">
        <v>14</v>
      </c>
      <c r="B1906" t="str">
        <f>"112009200200"</f>
        <v>112009200200</v>
      </c>
      <c r="C1906" t="s">
        <v>2708</v>
      </c>
      <c r="D1906" t="s">
        <v>256</v>
      </c>
      <c r="G1906" t="s">
        <v>17</v>
      </c>
      <c r="H1906" t="s">
        <v>51</v>
      </c>
      <c r="I1906" t="s">
        <v>104</v>
      </c>
      <c r="J1906" t="s">
        <v>105</v>
      </c>
      <c r="K1906" t="s">
        <v>330</v>
      </c>
      <c r="L1906" t="s">
        <v>63</v>
      </c>
      <c r="M1906" s="1">
        <v>37519</v>
      </c>
      <c r="N1906">
        <v>2002</v>
      </c>
    </row>
    <row r="1907" spans="1:14">
      <c r="A1907" t="s">
        <v>14</v>
      </c>
      <c r="B1907" t="str">
        <f>"111303200203"</f>
        <v>111303200203</v>
      </c>
      <c r="C1907" t="s">
        <v>2890</v>
      </c>
      <c r="D1907" t="s">
        <v>886</v>
      </c>
      <c r="G1907" t="s">
        <v>17</v>
      </c>
      <c r="H1907" t="s">
        <v>51</v>
      </c>
      <c r="I1907" t="s">
        <v>104</v>
      </c>
      <c r="J1907" t="s">
        <v>105</v>
      </c>
      <c r="K1907" t="s">
        <v>905</v>
      </c>
      <c r="L1907" t="s">
        <v>22</v>
      </c>
      <c r="M1907" s="1">
        <v>37328</v>
      </c>
      <c r="N1907">
        <v>2002</v>
      </c>
    </row>
    <row r="1908" spans="1:14">
      <c r="A1908" t="s">
        <v>14</v>
      </c>
      <c r="B1908" t="str">
        <f>"112408200301"</f>
        <v>112408200301</v>
      </c>
      <c r="C1908" t="s">
        <v>2908</v>
      </c>
      <c r="D1908" t="s">
        <v>209</v>
      </c>
      <c r="G1908" t="s">
        <v>17</v>
      </c>
      <c r="H1908" t="s">
        <v>51</v>
      </c>
      <c r="I1908" t="s">
        <v>104</v>
      </c>
      <c r="J1908" t="s">
        <v>105</v>
      </c>
      <c r="K1908" t="s">
        <v>905</v>
      </c>
      <c r="L1908" t="s">
        <v>22</v>
      </c>
      <c r="M1908" s="1">
        <v>37857</v>
      </c>
      <c r="N1908">
        <v>2003</v>
      </c>
    </row>
    <row r="1909" spans="1:14">
      <c r="A1909" t="s">
        <v>14</v>
      </c>
      <c r="B1909" t="str">
        <f>"122610199400"</f>
        <v>122610199400</v>
      </c>
      <c r="C1909" t="s">
        <v>2277</v>
      </c>
      <c r="D1909" t="s">
        <v>64</v>
      </c>
      <c r="G1909" t="s">
        <v>32</v>
      </c>
      <c r="H1909" t="s">
        <v>59</v>
      </c>
      <c r="I1909" t="s">
        <v>2278</v>
      </c>
      <c r="J1909" t="s">
        <v>105</v>
      </c>
      <c r="K1909" t="s">
        <v>472</v>
      </c>
      <c r="L1909" t="s">
        <v>48</v>
      </c>
      <c r="M1909" s="1">
        <v>34633</v>
      </c>
      <c r="N1909">
        <v>1994</v>
      </c>
    </row>
    <row r="1910" spans="1:14">
      <c r="A1910" t="s">
        <v>14</v>
      </c>
      <c r="B1910" t="str">
        <f>"110301199200"</f>
        <v>110301199200</v>
      </c>
      <c r="C1910" t="s">
        <v>2730</v>
      </c>
      <c r="D1910" t="s">
        <v>89</v>
      </c>
      <c r="G1910" t="s">
        <v>17</v>
      </c>
      <c r="H1910" t="s">
        <v>25</v>
      </c>
      <c r="I1910" t="s">
        <v>2278</v>
      </c>
      <c r="J1910" t="s">
        <v>105</v>
      </c>
      <c r="K1910" t="s">
        <v>2731</v>
      </c>
      <c r="L1910" t="s">
        <v>340</v>
      </c>
      <c r="M1910" s="1">
        <v>33606</v>
      </c>
      <c r="N1910">
        <v>1992</v>
      </c>
    </row>
    <row r="1911" spans="1:14">
      <c r="A1911" t="s">
        <v>14</v>
      </c>
      <c r="B1911" t="str">
        <f>"112603200200"</f>
        <v>112603200200</v>
      </c>
      <c r="C1911" t="s">
        <v>699</v>
      </c>
      <c r="D1911" t="s">
        <v>89</v>
      </c>
      <c r="G1911" t="s">
        <v>17</v>
      </c>
      <c r="H1911" t="s">
        <v>51</v>
      </c>
      <c r="I1911" t="s">
        <v>700</v>
      </c>
      <c r="J1911" t="s">
        <v>105</v>
      </c>
      <c r="K1911" t="s">
        <v>701</v>
      </c>
      <c r="L1911" t="s">
        <v>63</v>
      </c>
      <c r="M1911" s="1">
        <v>37341</v>
      </c>
      <c r="N1911">
        <v>2002</v>
      </c>
    </row>
    <row r="1912" spans="1:14">
      <c r="A1912" t="s">
        <v>14</v>
      </c>
      <c r="B1912" t="str">
        <f>"121506200100"</f>
        <v>121506200100</v>
      </c>
      <c r="C1912" t="s">
        <v>2749</v>
      </c>
      <c r="D1912" t="s">
        <v>541</v>
      </c>
      <c r="G1912" t="s">
        <v>32</v>
      </c>
      <c r="H1912" t="s">
        <v>44</v>
      </c>
      <c r="I1912" t="s">
        <v>1954</v>
      </c>
      <c r="J1912" t="s">
        <v>105</v>
      </c>
      <c r="K1912" t="s">
        <v>295</v>
      </c>
      <c r="L1912" t="s">
        <v>63</v>
      </c>
      <c r="M1912" s="1">
        <v>37057</v>
      </c>
      <c r="N1912">
        <v>2001</v>
      </c>
    </row>
    <row r="1913" spans="1:14">
      <c r="A1913" t="s">
        <v>14</v>
      </c>
      <c r="B1913" t="str">
        <f>"112810200101"</f>
        <v>112810200101</v>
      </c>
      <c r="C1913" t="s">
        <v>1953</v>
      </c>
      <c r="D1913" t="s">
        <v>50</v>
      </c>
      <c r="G1913" t="s">
        <v>17</v>
      </c>
      <c r="H1913" t="s">
        <v>18</v>
      </c>
      <c r="I1913" t="s">
        <v>1954</v>
      </c>
      <c r="J1913" t="s">
        <v>105</v>
      </c>
      <c r="K1913" t="s">
        <v>106</v>
      </c>
      <c r="L1913" t="s">
        <v>22</v>
      </c>
      <c r="M1913" s="1">
        <v>37192</v>
      </c>
      <c r="N1913">
        <v>2001</v>
      </c>
    </row>
    <row r="1914" spans="1:14">
      <c r="A1914" t="s">
        <v>14</v>
      </c>
      <c r="B1914" t="str">
        <f>"122912200100"</f>
        <v>122912200100</v>
      </c>
      <c r="C1914" t="s">
        <v>2539</v>
      </c>
      <c r="D1914" t="s">
        <v>64</v>
      </c>
      <c r="G1914" t="s">
        <v>32</v>
      </c>
      <c r="H1914" t="s">
        <v>44</v>
      </c>
      <c r="I1914" t="s">
        <v>2540</v>
      </c>
      <c r="J1914" t="s">
        <v>105</v>
      </c>
      <c r="K1914" t="s">
        <v>106</v>
      </c>
      <c r="L1914" t="s">
        <v>63</v>
      </c>
      <c r="M1914" s="1">
        <v>37254</v>
      </c>
      <c r="N1914">
        <v>2001</v>
      </c>
    </row>
    <row r="1915" spans="1:14">
      <c r="A1915" t="s">
        <v>14</v>
      </c>
      <c r="B1915" t="str">
        <f>"121006199800"</f>
        <v>121006199800</v>
      </c>
      <c r="C1915" t="s">
        <v>2144</v>
      </c>
      <c r="D1915" t="s">
        <v>194</v>
      </c>
      <c r="G1915" t="s">
        <v>32</v>
      </c>
      <c r="H1915" t="s">
        <v>59</v>
      </c>
      <c r="I1915" t="s">
        <v>2147</v>
      </c>
      <c r="J1915" t="s">
        <v>105</v>
      </c>
      <c r="K1915" t="s">
        <v>2148</v>
      </c>
      <c r="L1915" t="s">
        <v>48</v>
      </c>
      <c r="M1915" s="1">
        <v>35956</v>
      </c>
      <c r="N1915">
        <v>1998</v>
      </c>
    </row>
    <row r="1916" spans="1:14">
      <c r="A1916" t="s">
        <v>14</v>
      </c>
      <c r="B1916" t="str">
        <f>"120306200500"</f>
        <v>120306200500</v>
      </c>
      <c r="C1916" t="s">
        <v>299</v>
      </c>
      <c r="D1916" t="s">
        <v>64</v>
      </c>
      <c r="G1916" t="s">
        <v>32</v>
      </c>
      <c r="H1916" t="s">
        <v>33</v>
      </c>
      <c r="I1916" t="s">
        <v>300</v>
      </c>
      <c r="J1916" t="s">
        <v>301</v>
      </c>
      <c r="K1916" t="s">
        <v>302</v>
      </c>
      <c r="L1916" t="s">
        <v>22</v>
      </c>
      <c r="M1916" s="1">
        <v>38506</v>
      </c>
      <c r="N1916">
        <v>2005</v>
      </c>
    </row>
    <row r="1917" spans="1:14">
      <c r="A1917" t="s">
        <v>14</v>
      </c>
      <c r="B1917" t="str">
        <f>"122410200501"</f>
        <v>122410200501</v>
      </c>
      <c r="C1917" t="s">
        <v>494</v>
      </c>
      <c r="D1917" t="s">
        <v>233</v>
      </c>
      <c r="G1917" t="s">
        <v>32</v>
      </c>
      <c r="H1917" t="s">
        <v>33</v>
      </c>
      <c r="I1917" t="s">
        <v>300</v>
      </c>
      <c r="J1917" t="s">
        <v>301</v>
      </c>
      <c r="K1917" t="s">
        <v>302</v>
      </c>
      <c r="L1917" t="s">
        <v>22</v>
      </c>
      <c r="M1917" s="1">
        <v>38649</v>
      </c>
      <c r="N1917">
        <v>2005</v>
      </c>
    </row>
    <row r="1918" spans="1:14">
      <c r="A1918" t="s">
        <v>14</v>
      </c>
      <c r="B1918" t="str">
        <f>"121004200500"</f>
        <v>121004200500</v>
      </c>
      <c r="C1918" t="s">
        <v>697</v>
      </c>
      <c r="D1918" t="s">
        <v>551</v>
      </c>
      <c r="G1918" t="s">
        <v>32</v>
      </c>
      <c r="H1918" t="s">
        <v>33</v>
      </c>
      <c r="I1918" t="s">
        <v>300</v>
      </c>
      <c r="J1918" t="s">
        <v>301</v>
      </c>
      <c r="K1918" t="s">
        <v>335</v>
      </c>
      <c r="M1918" s="1">
        <v>38452</v>
      </c>
      <c r="N1918">
        <v>2005</v>
      </c>
    </row>
    <row r="1919" spans="1:14">
      <c r="A1919" t="s">
        <v>14</v>
      </c>
      <c r="B1919" t="str">
        <f>"122207200500"</f>
        <v>122207200500</v>
      </c>
      <c r="C1919" t="s">
        <v>739</v>
      </c>
      <c r="D1919" t="s">
        <v>143</v>
      </c>
      <c r="G1919" t="s">
        <v>32</v>
      </c>
      <c r="H1919" t="s">
        <v>33</v>
      </c>
      <c r="I1919" t="s">
        <v>300</v>
      </c>
      <c r="J1919" t="s">
        <v>301</v>
      </c>
      <c r="K1919" t="s">
        <v>302</v>
      </c>
      <c r="L1919" t="s">
        <v>22</v>
      </c>
      <c r="M1919" s="1">
        <v>38555</v>
      </c>
      <c r="N1919">
        <v>2005</v>
      </c>
    </row>
    <row r="1920" spans="1:14">
      <c r="A1920" t="s">
        <v>14</v>
      </c>
      <c r="B1920" t="str">
        <f>"122112200400"</f>
        <v>122112200400</v>
      </c>
      <c r="C1920" t="s">
        <v>1381</v>
      </c>
      <c r="D1920" t="s">
        <v>233</v>
      </c>
      <c r="G1920" t="s">
        <v>32</v>
      </c>
      <c r="H1920" t="s">
        <v>33</v>
      </c>
      <c r="I1920" t="s">
        <v>300</v>
      </c>
      <c r="J1920" t="s">
        <v>301</v>
      </c>
      <c r="K1920" t="s">
        <v>335</v>
      </c>
      <c r="L1920" t="s">
        <v>22</v>
      </c>
      <c r="M1920" s="1">
        <v>38342</v>
      </c>
      <c r="N1920">
        <v>2004</v>
      </c>
    </row>
    <row r="1921" spans="1:14">
      <c r="A1921" t="s">
        <v>14</v>
      </c>
      <c r="B1921" t="str">
        <f>"120905200501"</f>
        <v>120905200501</v>
      </c>
      <c r="C1921" t="s">
        <v>1677</v>
      </c>
      <c r="D1921" t="s">
        <v>64</v>
      </c>
      <c r="G1921" t="s">
        <v>32</v>
      </c>
      <c r="H1921" t="s">
        <v>33</v>
      </c>
      <c r="I1921" t="s">
        <v>300</v>
      </c>
      <c r="J1921" t="s">
        <v>301</v>
      </c>
      <c r="K1921" t="s">
        <v>302</v>
      </c>
      <c r="L1921" t="s">
        <v>22</v>
      </c>
      <c r="M1921" s="1">
        <v>38481</v>
      </c>
      <c r="N1921">
        <v>2005</v>
      </c>
    </row>
    <row r="1922" spans="1:14">
      <c r="A1922" t="s">
        <v>14</v>
      </c>
      <c r="B1922" t="str">
        <f>"121607200400"</f>
        <v>121607200400</v>
      </c>
      <c r="C1922" t="s">
        <v>1711</v>
      </c>
      <c r="D1922" t="s">
        <v>232</v>
      </c>
      <c r="G1922" t="s">
        <v>32</v>
      </c>
      <c r="H1922" t="s">
        <v>33</v>
      </c>
      <c r="I1922" t="s">
        <v>300</v>
      </c>
      <c r="J1922" t="s">
        <v>301</v>
      </c>
      <c r="K1922" t="s">
        <v>335</v>
      </c>
      <c r="M1922" s="1">
        <v>38184</v>
      </c>
      <c r="N1922">
        <v>2004</v>
      </c>
    </row>
    <row r="1923" spans="1:14">
      <c r="A1923" t="s">
        <v>14</v>
      </c>
      <c r="B1923" t="str">
        <f>"122908200500"</f>
        <v>122908200500</v>
      </c>
      <c r="C1923" t="s">
        <v>2339</v>
      </c>
      <c r="D1923" t="s">
        <v>2340</v>
      </c>
      <c r="G1923" t="s">
        <v>32</v>
      </c>
      <c r="H1923" t="s">
        <v>33</v>
      </c>
      <c r="I1923" t="s">
        <v>300</v>
      </c>
      <c r="J1923" t="s">
        <v>301</v>
      </c>
      <c r="K1923" t="s">
        <v>335</v>
      </c>
      <c r="L1923" t="s">
        <v>22</v>
      </c>
      <c r="M1923" s="1">
        <v>38593</v>
      </c>
      <c r="N1923">
        <v>2005</v>
      </c>
    </row>
    <row r="1924" spans="1:14">
      <c r="A1924" t="s">
        <v>14</v>
      </c>
      <c r="B1924" t="str">
        <f>"121711200400"</f>
        <v>121711200400</v>
      </c>
      <c r="C1924" t="s">
        <v>2348</v>
      </c>
      <c r="D1924" t="s">
        <v>233</v>
      </c>
      <c r="G1924" t="s">
        <v>32</v>
      </c>
      <c r="H1924" t="s">
        <v>33</v>
      </c>
      <c r="I1924" t="s">
        <v>300</v>
      </c>
      <c r="J1924" t="s">
        <v>301</v>
      </c>
      <c r="K1924" t="s">
        <v>2349</v>
      </c>
      <c r="M1924" s="1">
        <v>38308</v>
      </c>
      <c r="N1924">
        <v>2004</v>
      </c>
    </row>
    <row r="1925" spans="1:14">
      <c r="A1925" t="s">
        <v>14</v>
      </c>
      <c r="B1925" t="str">
        <f>"121402200300"</f>
        <v>121402200300</v>
      </c>
      <c r="C1925" t="s">
        <v>914</v>
      </c>
      <c r="D1925" t="s">
        <v>127</v>
      </c>
      <c r="G1925" t="s">
        <v>32</v>
      </c>
      <c r="H1925" t="s">
        <v>65</v>
      </c>
      <c r="I1925" t="s">
        <v>300</v>
      </c>
      <c r="J1925" t="s">
        <v>301</v>
      </c>
      <c r="K1925" t="s">
        <v>915</v>
      </c>
      <c r="L1925" t="s">
        <v>22</v>
      </c>
      <c r="M1925" s="1">
        <v>37666</v>
      </c>
      <c r="N1925">
        <v>2003</v>
      </c>
    </row>
    <row r="1926" spans="1:14">
      <c r="A1926" t="s">
        <v>14</v>
      </c>
      <c r="B1926" t="str">
        <f>"123007200200"</f>
        <v>123007200200</v>
      </c>
      <c r="C1926" t="s">
        <v>1364</v>
      </c>
      <c r="D1926" t="s">
        <v>233</v>
      </c>
      <c r="G1926" t="s">
        <v>32</v>
      </c>
      <c r="H1926" t="s">
        <v>65</v>
      </c>
      <c r="I1926" t="s">
        <v>300</v>
      </c>
      <c r="J1926" t="s">
        <v>301</v>
      </c>
      <c r="K1926" t="s">
        <v>1365</v>
      </c>
      <c r="L1926" t="s">
        <v>63</v>
      </c>
      <c r="M1926" s="1">
        <v>37467</v>
      </c>
      <c r="N1926">
        <v>2002</v>
      </c>
    </row>
    <row r="1927" spans="1:14">
      <c r="A1927" t="s">
        <v>14</v>
      </c>
      <c r="B1927" t="str">
        <f>"121905200301"</f>
        <v>121905200301</v>
      </c>
      <c r="C1927" t="s">
        <v>1560</v>
      </c>
      <c r="D1927" t="s">
        <v>970</v>
      </c>
      <c r="G1927" t="s">
        <v>32</v>
      </c>
      <c r="H1927" t="s">
        <v>65</v>
      </c>
      <c r="I1927" t="s">
        <v>300</v>
      </c>
      <c r="J1927" t="s">
        <v>301</v>
      </c>
      <c r="K1927" t="s">
        <v>357</v>
      </c>
      <c r="L1927" t="s">
        <v>63</v>
      </c>
      <c r="M1927" s="1">
        <v>37760</v>
      </c>
      <c r="N1927">
        <v>2003</v>
      </c>
    </row>
    <row r="1928" spans="1:14">
      <c r="A1928" t="s">
        <v>14</v>
      </c>
      <c r="B1928" t="str">
        <f>"122201200200"</f>
        <v>122201200200</v>
      </c>
      <c r="C1928" t="s">
        <v>2174</v>
      </c>
      <c r="D1928" t="s">
        <v>127</v>
      </c>
      <c r="G1928" t="s">
        <v>32</v>
      </c>
      <c r="H1928" t="s">
        <v>65</v>
      </c>
      <c r="I1928" t="s">
        <v>300</v>
      </c>
      <c r="J1928" t="s">
        <v>301</v>
      </c>
      <c r="K1928" t="s">
        <v>357</v>
      </c>
      <c r="M1928" s="1">
        <v>37278</v>
      </c>
      <c r="N1928">
        <v>2002</v>
      </c>
    </row>
    <row r="1929" spans="1:14">
      <c r="A1929" t="s">
        <v>14</v>
      </c>
      <c r="B1929" t="str">
        <f>"121104199300"</f>
        <v>121104199300</v>
      </c>
      <c r="C1929" t="s">
        <v>2680</v>
      </c>
      <c r="D1929" t="s">
        <v>139</v>
      </c>
      <c r="G1929" t="s">
        <v>32</v>
      </c>
      <c r="H1929" t="s">
        <v>59</v>
      </c>
      <c r="I1929" t="s">
        <v>300</v>
      </c>
      <c r="J1929" t="s">
        <v>301</v>
      </c>
      <c r="K1929" t="s">
        <v>357</v>
      </c>
      <c r="L1929" t="s">
        <v>63</v>
      </c>
      <c r="M1929" s="1">
        <v>34070</v>
      </c>
      <c r="N1929">
        <v>1993</v>
      </c>
    </row>
    <row r="1930" spans="1:14">
      <c r="A1930" t="s">
        <v>14</v>
      </c>
      <c r="B1930" t="str">
        <f>"122602200100"</f>
        <v>122602200100</v>
      </c>
      <c r="C1930" t="s">
        <v>449</v>
      </c>
      <c r="D1930" t="s">
        <v>232</v>
      </c>
      <c r="G1930" t="s">
        <v>32</v>
      </c>
      <c r="H1930" t="s">
        <v>44</v>
      </c>
      <c r="I1930" t="s">
        <v>300</v>
      </c>
      <c r="J1930" t="s">
        <v>301</v>
      </c>
      <c r="K1930" t="s">
        <v>335</v>
      </c>
      <c r="L1930" t="s">
        <v>22</v>
      </c>
      <c r="M1930" s="1">
        <v>36948</v>
      </c>
      <c r="N1930">
        <v>2001</v>
      </c>
    </row>
    <row r="1931" spans="1:14">
      <c r="A1931" t="s">
        <v>14</v>
      </c>
      <c r="B1931" t="str">
        <f>"121104199900"</f>
        <v>121104199900</v>
      </c>
      <c r="C1931" t="s">
        <v>1065</v>
      </c>
      <c r="D1931" t="s">
        <v>178</v>
      </c>
      <c r="G1931" t="s">
        <v>32</v>
      </c>
      <c r="H1931" t="s">
        <v>44</v>
      </c>
      <c r="I1931" t="s">
        <v>300</v>
      </c>
      <c r="J1931" t="s">
        <v>301</v>
      </c>
      <c r="K1931" t="s">
        <v>357</v>
      </c>
      <c r="M1931" s="1">
        <v>36261</v>
      </c>
      <c r="N1931">
        <v>1999</v>
      </c>
    </row>
    <row r="1932" spans="1:14">
      <c r="A1932" t="s">
        <v>14</v>
      </c>
      <c r="B1932" t="str">
        <f>"110301199800"</f>
        <v>110301199800</v>
      </c>
      <c r="C1932" t="s">
        <v>2358</v>
      </c>
      <c r="D1932" t="s">
        <v>221</v>
      </c>
      <c r="G1932" t="s">
        <v>17</v>
      </c>
      <c r="H1932" t="s">
        <v>25</v>
      </c>
      <c r="I1932" t="s">
        <v>300</v>
      </c>
      <c r="J1932" t="s">
        <v>301</v>
      </c>
      <c r="K1932" t="s">
        <v>335</v>
      </c>
      <c r="L1932" t="s">
        <v>22</v>
      </c>
      <c r="M1932" s="1">
        <v>35798</v>
      </c>
      <c r="N1932">
        <v>1998</v>
      </c>
    </row>
    <row r="1933" spans="1:14">
      <c r="A1933" t="s">
        <v>14</v>
      </c>
      <c r="B1933" t="str">
        <f>"111606199401"</f>
        <v>111606199401</v>
      </c>
      <c r="C1933" t="s">
        <v>2614</v>
      </c>
      <c r="D1933" t="s">
        <v>373</v>
      </c>
      <c r="G1933" t="s">
        <v>17</v>
      </c>
      <c r="H1933" t="s">
        <v>25</v>
      </c>
      <c r="I1933" t="s">
        <v>300</v>
      </c>
      <c r="J1933" t="s">
        <v>301</v>
      </c>
      <c r="K1933" t="s">
        <v>357</v>
      </c>
      <c r="L1933" t="s">
        <v>63</v>
      </c>
      <c r="M1933" s="1">
        <v>34501</v>
      </c>
      <c r="N1933">
        <v>1994</v>
      </c>
    </row>
    <row r="1934" spans="1:14">
      <c r="A1934" t="s">
        <v>14</v>
      </c>
      <c r="B1934" t="str">
        <f>"112401200000"</f>
        <v>112401200000</v>
      </c>
      <c r="C1934" t="s">
        <v>501</v>
      </c>
      <c r="D1934" t="s">
        <v>50</v>
      </c>
      <c r="G1934" t="s">
        <v>17</v>
      </c>
      <c r="H1934" t="s">
        <v>18</v>
      </c>
      <c r="I1934" t="s">
        <v>300</v>
      </c>
      <c r="J1934" t="s">
        <v>301</v>
      </c>
      <c r="K1934" t="s">
        <v>357</v>
      </c>
      <c r="L1934" t="s">
        <v>22</v>
      </c>
      <c r="M1934" s="1">
        <v>36549</v>
      </c>
      <c r="N1934">
        <v>2000</v>
      </c>
    </row>
    <row r="1935" spans="1:14">
      <c r="A1935" t="s">
        <v>14</v>
      </c>
      <c r="B1935" t="str">
        <f>"110310200500"</f>
        <v>110310200500</v>
      </c>
      <c r="C1935" t="s">
        <v>334</v>
      </c>
      <c r="D1935" t="s">
        <v>129</v>
      </c>
      <c r="G1935" t="s">
        <v>17</v>
      </c>
      <c r="H1935" t="s">
        <v>39</v>
      </c>
      <c r="I1935" t="s">
        <v>300</v>
      </c>
      <c r="J1935" t="s">
        <v>301</v>
      </c>
      <c r="K1935" t="s">
        <v>335</v>
      </c>
      <c r="L1935" t="s">
        <v>22</v>
      </c>
      <c r="M1935" s="1">
        <v>38628</v>
      </c>
      <c r="N1935">
        <v>2005</v>
      </c>
    </row>
    <row r="1936" spans="1:14">
      <c r="A1936" t="s">
        <v>14</v>
      </c>
      <c r="B1936" t="str">
        <f>"111506200500"</f>
        <v>111506200500</v>
      </c>
      <c r="C1936" t="s">
        <v>395</v>
      </c>
      <c r="D1936" t="s">
        <v>129</v>
      </c>
      <c r="G1936" t="s">
        <v>17</v>
      </c>
      <c r="H1936" t="s">
        <v>39</v>
      </c>
      <c r="I1936" t="s">
        <v>300</v>
      </c>
      <c r="J1936" t="s">
        <v>301</v>
      </c>
      <c r="K1936" t="s">
        <v>302</v>
      </c>
      <c r="L1936" t="s">
        <v>22</v>
      </c>
      <c r="M1936" s="1">
        <v>38518</v>
      </c>
      <c r="N1936">
        <v>2005</v>
      </c>
    </row>
    <row r="1937" spans="1:14">
      <c r="A1937" t="s">
        <v>14</v>
      </c>
      <c r="B1937" t="str">
        <f>"110707200501"</f>
        <v>110707200501</v>
      </c>
      <c r="C1937" t="s">
        <v>919</v>
      </c>
      <c r="D1937" t="s">
        <v>155</v>
      </c>
      <c r="G1937" t="s">
        <v>17</v>
      </c>
      <c r="H1937" t="s">
        <v>39</v>
      </c>
      <c r="I1937" t="s">
        <v>300</v>
      </c>
      <c r="J1937" t="s">
        <v>301</v>
      </c>
      <c r="K1937" t="s">
        <v>302</v>
      </c>
      <c r="L1937" t="s">
        <v>22</v>
      </c>
      <c r="M1937" s="1">
        <v>38540</v>
      </c>
      <c r="N1937">
        <v>2005</v>
      </c>
    </row>
    <row r="1938" spans="1:14">
      <c r="A1938" t="s">
        <v>14</v>
      </c>
      <c r="B1938" t="str">
        <f>"110710200500"</f>
        <v>110710200500</v>
      </c>
      <c r="C1938" t="s">
        <v>1266</v>
      </c>
      <c r="D1938" t="s">
        <v>344</v>
      </c>
      <c r="G1938" t="s">
        <v>17</v>
      </c>
      <c r="H1938" t="s">
        <v>39</v>
      </c>
      <c r="I1938" t="s">
        <v>300</v>
      </c>
      <c r="J1938" t="s">
        <v>301</v>
      </c>
      <c r="K1938" t="s">
        <v>302</v>
      </c>
      <c r="L1938" t="s">
        <v>22</v>
      </c>
      <c r="M1938" s="1">
        <v>38632</v>
      </c>
      <c r="N1938">
        <v>2005</v>
      </c>
    </row>
    <row r="1939" spans="1:14">
      <c r="A1939" t="s">
        <v>14</v>
      </c>
      <c r="B1939" t="str">
        <f>"110106200401"</f>
        <v>110106200401</v>
      </c>
      <c r="C1939" t="s">
        <v>1363</v>
      </c>
      <c r="D1939" t="s">
        <v>89</v>
      </c>
      <c r="G1939" t="s">
        <v>17</v>
      </c>
      <c r="H1939" t="s">
        <v>39</v>
      </c>
      <c r="I1939" t="s">
        <v>300</v>
      </c>
      <c r="J1939" t="s">
        <v>301</v>
      </c>
      <c r="K1939" t="s">
        <v>302</v>
      </c>
      <c r="L1939" t="s">
        <v>22</v>
      </c>
      <c r="M1939" s="1">
        <v>38139</v>
      </c>
      <c r="N1939">
        <v>2004</v>
      </c>
    </row>
    <row r="1940" spans="1:14">
      <c r="A1940" t="s">
        <v>14</v>
      </c>
      <c r="B1940" t="str">
        <f>"110408200500"</f>
        <v>110408200500</v>
      </c>
      <c r="C1940" t="s">
        <v>1462</v>
      </c>
      <c r="D1940" t="s">
        <v>657</v>
      </c>
      <c r="G1940" t="s">
        <v>17</v>
      </c>
      <c r="H1940" t="s">
        <v>39</v>
      </c>
      <c r="I1940" t="s">
        <v>300</v>
      </c>
      <c r="J1940" t="s">
        <v>301</v>
      </c>
      <c r="K1940" t="s">
        <v>302</v>
      </c>
      <c r="L1940" t="s">
        <v>22</v>
      </c>
      <c r="M1940" s="1">
        <v>38568</v>
      </c>
      <c r="N1940">
        <v>2005</v>
      </c>
    </row>
    <row r="1941" spans="1:14">
      <c r="A1941" t="s">
        <v>14</v>
      </c>
      <c r="B1941" t="str">
        <f>"110209200500"</f>
        <v>110209200500</v>
      </c>
      <c r="C1941" t="s">
        <v>1779</v>
      </c>
      <c r="D1941" t="s">
        <v>373</v>
      </c>
      <c r="G1941" t="s">
        <v>17</v>
      </c>
      <c r="H1941" t="s">
        <v>39</v>
      </c>
      <c r="I1941" t="s">
        <v>300</v>
      </c>
      <c r="J1941" t="s">
        <v>301</v>
      </c>
      <c r="K1941" t="s">
        <v>335</v>
      </c>
      <c r="L1941" t="s">
        <v>22</v>
      </c>
      <c r="M1941" s="1">
        <v>38597</v>
      </c>
      <c r="N1941">
        <v>2005</v>
      </c>
    </row>
    <row r="1942" spans="1:14">
      <c r="A1942" t="s">
        <v>14</v>
      </c>
      <c r="B1942" t="str">
        <f>"113108200400"</f>
        <v>113108200400</v>
      </c>
      <c r="C1942" t="s">
        <v>2163</v>
      </c>
      <c r="D1942" t="s">
        <v>95</v>
      </c>
      <c r="G1942" t="s">
        <v>17</v>
      </c>
      <c r="H1942" t="s">
        <v>39</v>
      </c>
      <c r="I1942" t="s">
        <v>300</v>
      </c>
      <c r="J1942" t="s">
        <v>301</v>
      </c>
      <c r="K1942" t="s">
        <v>302</v>
      </c>
      <c r="L1942" t="s">
        <v>22</v>
      </c>
      <c r="M1942" s="1">
        <v>38230</v>
      </c>
      <c r="N1942">
        <v>2004</v>
      </c>
    </row>
    <row r="1943" spans="1:14">
      <c r="A1943" t="s">
        <v>14</v>
      </c>
      <c r="B1943" t="str">
        <f>"112708200201"</f>
        <v>112708200201</v>
      </c>
      <c r="C1943" t="s">
        <v>356</v>
      </c>
      <c r="D1943" t="s">
        <v>209</v>
      </c>
      <c r="G1943" t="s">
        <v>17</v>
      </c>
      <c r="H1943" t="s">
        <v>51</v>
      </c>
      <c r="I1943" t="s">
        <v>300</v>
      </c>
      <c r="J1943" t="s">
        <v>301</v>
      </c>
      <c r="K1943" t="s">
        <v>357</v>
      </c>
      <c r="L1943" t="s">
        <v>22</v>
      </c>
      <c r="M1943" s="1">
        <v>37495</v>
      </c>
      <c r="N1943">
        <v>2002</v>
      </c>
    </row>
    <row r="1944" spans="1:14">
      <c r="A1944" t="s">
        <v>14</v>
      </c>
      <c r="B1944" t="str">
        <f>"111011200200"</f>
        <v>111011200200</v>
      </c>
      <c r="C1944" t="s">
        <v>1358</v>
      </c>
      <c r="D1944" t="s">
        <v>287</v>
      </c>
      <c r="G1944" t="s">
        <v>17</v>
      </c>
      <c r="H1944" t="s">
        <v>51</v>
      </c>
      <c r="I1944" t="s">
        <v>300</v>
      </c>
      <c r="J1944" t="s">
        <v>301</v>
      </c>
      <c r="K1944" t="s">
        <v>357</v>
      </c>
      <c r="L1944" t="s">
        <v>22</v>
      </c>
      <c r="M1944" s="1">
        <v>37570</v>
      </c>
      <c r="N1944">
        <v>2002</v>
      </c>
    </row>
    <row r="1945" spans="1:14">
      <c r="A1945" t="s">
        <v>14</v>
      </c>
      <c r="B1945" t="str">
        <f>"110101200300"</f>
        <v>110101200300</v>
      </c>
      <c r="C1945" t="s">
        <v>1786</v>
      </c>
      <c r="D1945" t="s">
        <v>782</v>
      </c>
      <c r="G1945" t="s">
        <v>17</v>
      </c>
      <c r="H1945" t="s">
        <v>51</v>
      </c>
      <c r="I1945" t="s">
        <v>300</v>
      </c>
      <c r="J1945" t="s">
        <v>301</v>
      </c>
      <c r="K1945" t="s">
        <v>357</v>
      </c>
      <c r="L1945" t="s">
        <v>22</v>
      </c>
      <c r="M1945" s="1">
        <v>37622</v>
      </c>
      <c r="N1945">
        <v>2003</v>
      </c>
    </row>
    <row r="1946" spans="1:14">
      <c r="A1946" t="s">
        <v>14</v>
      </c>
      <c r="B1946" t="str">
        <f>"110905200301"</f>
        <v>110905200301</v>
      </c>
      <c r="C1946" t="s">
        <v>2159</v>
      </c>
      <c r="D1946" t="s">
        <v>292</v>
      </c>
      <c r="G1946" t="s">
        <v>17</v>
      </c>
      <c r="H1946" t="s">
        <v>51</v>
      </c>
      <c r="I1946" t="s">
        <v>300</v>
      </c>
      <c r="J1946" t="s">
        <v>301</v>
      </c>
      <c r="K1946" t="s">
        <v>357</v>
      </c>
      <c r="L1946" t="s">
        <v>22</v>
      </c>
      <c r="M1946" s="1">
        <v>37750</v>
      </c>
      <c r="N1946">
        <v>2003</v>
      </c>
    </row>
    <row r="1947" spans="1:14">
      <c r="A1947" t="s">
        <v>14</v>
      </c>
      <c r="B1947" t="str">
        <f>"122910200400"</f>
        <v>122910200400</v>
      </c>
      <c r="C1947" t="s">
        <v>1169</v>
      </c>
      <c r="D1947" t="s">
        <v>233</v>
      </c>
      <c r="G1947" t="s">
        <v>32</v>
      </c>
      <c r="H1947" t="s">
        <v>33</v>
      </c>
      <c r="I1947" t="s">
        <v>252</v>
      </c>
      <c r="J1947" t="s">
        <v>253</v>
      </c>
      <c r="K1947" t="s">
        <v>254</v>
      </c>
      <c r="L1947" t="s">
        <v>22</v>
      </c>
      <c r="M1947" s="1">
        <v>38289</v>
      </c>
      <c r="N1947">
        <v>2004</v>
      </c>
    </row>
    <row r="1948" spans="1:14">
      <c r="A1948" t="s">
        <v>14</v>
      </c>
      <c r="B1948" t="str">
        <f>"122303200400"</f>
        <v>122303200400</v>
      </c>
      <c r="C1948" t="s">
        <v>1307</v>
      </c>
      <c r="D1948" t="s">
        <v>169</v>
      </c>
      <c r="G1948" t="s">
        <v>32</v>
      </c>
      <c r="H1948" t="s">
        <v>33</v>
      </c>
      <c r="I1948" t="s">
        <v>252</v>
      </c>
      <c r="J1948" t="s">
        <v>253</v>
      </c>
      <c r="K1948" t="s">
        <v>254</v>
      </c>
      <c r="M1948" s="1">
        <v>38069</v>
      </c>
      <c r="N1948">
        <v>2004</v>
      </c>
    </row>
    <row r="1949" spans="1:14">
      <c r="A1949" t="s">
        <v>14</v>
      </c>
      <c r="B1949" t="str">
        <f>"121609200400"</f>
        <v>121609200400</v>
      </c>
      <c r="C1949" t="s">
        <v>1585</v>
      </c>
      <c r="D1949" t="s">
        <v>127</v>
      </c>
      <c r="G1949" t="s">
        <v>32</v>
      </c>
      <c r="H1949" t="s">
        <v>33</v>
      </c>
      <c r="I1949" t="s">
        <v>252</v>
      </c>
      <c r="J1949" t="s">
        <v>253</v>
      </c>
      <c r="K1949" t="s">
        <v>254</v>
      </c>
      <c r="L1949" t="s">
        <v>22</v>
      </c>
      <c r="M1949" s="1">
        <v>38246</v>
      </c>
      <c r="N1949">
        <v>2004</v>
      </c>
    </row>
    <row r="1950" spans="1:14">
      <c r="A1950" t="s">
        <v>14</v>
      </c>
      <c r="B1950" t="str">
        <f>"123007200500"</f>
        <v>123007200500</v>
      </c>
      <c r="C1950" t="s">
        <v>2563</v>
      </c>
      <c r="D1950" t="s">
        <v>420</v>
      </c>
      <c r="G1950" t="s">
        <v>32</v>
      </c>
      <c r="H1950" t="s">
        <v>33</v>
      </c>
      <c r="I1950" t="s">
        <v>252</v>
      </c>
      <c r="J1950" t="s">
        <v>253</v>
      </c>
      <c r="K1950" t="s">
        <v>254</v>
      </c>
      <c r="L1950" t="s">
        <v>22</v>
      </c>
      <c r="M1950" s="1">
        <v>38563</v>
      </c>
      <c r="N1950">
        <v>2005</v>
      </c>
    </row>
    <row r="1951" spans="1:14">
      <c r="A1951" t="s">
        <v>14</v>
      </c>
      <c r="B1951" t="str">
        <f>"121902200200"</f>
        <v>121902200200</v>
      </c>
      <c r="C1951" t="s">
        <v>1125</v>
      </c>
      <c r="D1951" t="s">
        <v>58</v>
      </c>
      <c r="G1951" t="s">
        <v>32</v>
      </c>
      <c r="H1951" t="s">
        <v>65</v>
      </c>
      <c r="I1951" t="s">
        <v>252</v>
      </c>
      <c r="J1951" t="s">
        <v>253</v>
      </c>
      <c r="K1951" t="s">
        <v>427</v>
      </c>
      <c r="M1951" s="1">
        <v>37306</v>
      </c>
      <c r="N1951">
        <v>2002</v>
      </c>
    </row>
    <row r="1952" spans="1:14">
      <c r="A1952" t="s">
        <v>14</v>
      </c>
      <c r="B1952" t="str">
        <f>"120109200300"</f>
        <v>120109200300</v>
      </c>
      <c r="C1952" t="s">
        <v>1559</v>
      </c>
      <c r="D1952" t="s">
        <v>58</v>
      </c>
      <c r="G1952" t="s">
        <v>32</v>
      </c>
      <c r="H1952" t="s">
        <v>65</v>
      </c>
      <c r="I1952" t="s">
        <v>252</v>
      </c>
      <c r="J1952" t="s">
        <v>253</v>
      </c>
      <c r="K1952" t="s">
        <v>1421</v>
      </c>
      <c r="L1952" t="s">
        <v>22</v>
      </c>
      <c r="M1952" s="1">
        <v>37865</v>
      </c>
      <c r="N1952">
        <v>2003</v>
      </c>
    </row>
    <row r="1953" spans="1:14">
      <c r="A1953" t="s">
        <v>14</v>
      </c>
      <c r="B1953" t="str">
        <f>"120210200200"</f>
        <v>120210200200</v>
      </c>
      <c r="C1953" t="s">
        <v>1925</v>
      </c>
      <c r="D1953" t="s">
        <v>493</v>
      </c>
      <c r="G1953" t="s">
        <v>32</v>
      </c>
      <c r="H1953" t="s">
        <v>65</v>
      </c>
      <c r="I1953" t="s">
        <v>252</v>
      </c>
      <c r="J1953" t="s">
        <v>253</v>
      </c>
      <c r="K1953" t="s">
        <v>427</v>
      </c>
      <c r="L1953" t="s">
        <v>22</v>
      </c>
      <c r="M1953" s="1">
        <v>37531</v>
      </c>
      <c r="N1953">
        <v>2002</v>
      </c>
    </row>
    <row r="1954" spans="1:14">
      <c r="A1954" t="s">
        <v>14</v>
      </c>
      <c r="B1954" t="str">
        <f>"121703200300"</f>
        <v>121703200300</v>
      </c>
      <c r="C1954" t="s">
        <v>2332</v>
      </c>
      <c r="D1954" t="s">
        <v>611</v>
      </c>
      <c r="G1954" t="s">
        <v>32</v>
      </c>
      <c r="H1954" t="s">
        <v>65</v>
      </c>
      <c r="I1954" t="s">
        <v>252</v>
      </c>
      <c r="J1954" t="s">
        <v>253</v>
      </c>
      <c r="K1954" t="s">
        <v>1421</v>
      </c>
      <c r="M1954" s="1">
        <v>37697</v>
      </c>
      <c r="N1954">
        <v>2003</v>
      </c>
    </row>
    <row r="1955" spans="1:14">
      <c r="A1955" t="s">
        <v>14</v>
      </c>
      <c r="B1955" t="str">
        <f>"122711200201"</f>
        <v>122711200201</v>
      </c>
      <c r="C1955" t="s">
        <v>2581</v>
      </c>
      <c r="D1955" t="s">
        <v>143</v>
      </c>
      <c r="G1955" t="s">
        <v>32</v>
      </c>
      <c r="H1955" t="s">
        <v>65</v>
      </c>
      <c r="I1955" t="s">
        <v>252</v>
      </c>
      <c r="J1955" t="s">
        <v>253</v>
      </c>
      <c r="K1955" t="s">
        <v>427</v>
      </c>
      <c r="L1955" t="s">
        <v>22</v>
      </c>
      <c r="M1955" s="1">
        <v>37587</v>
      </c>
      <c r="N1955">
        <v>2002</v>
      </c>
    </row>
    <row r="1956" spans="1:14">
      <c r="A1956" t="s">
        <v>14</v>
      </c>
      <c r="B1956" t="str">
        <f>"121707200300"</f>
        <v>121707200300</v>
      </c>
      <c r="C1956" t="s">
        <v>2658</v>
      </c>
      <c r="D1956" t="s">
        <v>232</v>
      </c>
      <c r="G1956" t="s">
        <v>32</v>
      </c>
      <c r="H1956" t="s">
        <v>65</v>
      </c>
      <c r="I1956" t="s">
        <v>252</v>
      </c>
      <c r="J1956" t="s">
        <v>253</v>
      </c>
      <c r="K1956" t="s">
        <v>427</v>
      </c>
      <c r="M1956" s="1">
        <v>37819</v>
      </c>
      <c r="N1956">
        <v>2003</v>
      </c>
    </row>
    <row r="1957" spans="1:14">
      <c r="A1957" t="s">
        <v>14</v>
      </c>
      <c r="B1957" t="str">
        <f>"121504200300"</f>
        <v>121504200300</v>
      </c>
      <c r="C1957" t="s">
        <v>2726</v>
      </c>
      <c r="D1957" t="s">
        <v>772</v>
      </c>
      <c r="G1957" t="s">
        <v>32</v>
      </c>
      <c r="H1957" t="s">
        <v>65</v>
      </c>
      <c r="I1957" t="s">
        <v>252</v>
      </c>
      <c r="J1957" t="s">
        <v>253</v>
      </c>
      <c r="K1957" t="s">
        <v>1421</v>
      </c>
      <c r="L1957" t="s">
        <v>22</v>
      </c>
      <c r="M1957" s="1">
        <v>37726</v>
      </c>
      <c r="N1957">
        <v>2003</v>
      </c>
    </row>
    <row r="1958" spans="1:14">
      <c r="A1958" t="s">
        <v>14</v>
      </c>
      <c r="B1958" t="str">
        <f>"120509200000"</f>
        <v>120509200000</v>
      </c>
      <c r="C1958" t="s">
        <v>426</v>
      </c>
      <c r="D1958" t="s">
        <v>127</v>
      </c>
      <c r="G1958" t="s">
        <v>32</v>
      </c>
      <c r="H1958" t="s">
        <v>44</v>
      </c>
      <c r="I1958" t="s">
        <v>252</v>
      </c>
      <c r="J1958" t="s">
        <v>253</v>
      </c>
      <c r="K1958" t="s">
        <v>427</v>
      </c>
      <c r="L1958" t="s">
        <v>48</v>
      </c>
      <c r="M1958" s="1">
        <v>36774</v>
      </c>
      <c r="N1958">
        <v>2000</v>
      </c>
    </row>
    <row r="1959" spans="1:14">
      <c r="A1959" t="s">
        <v>14</v>
      </c>
      <c r="B1959" t="str">
        <f>"110903200000"</f>
        <v>110903200000</v>
      </c>
      <c r="C1959" t="s">
        <v>1420</v>
      </c>
      <c r="D1959" t="s">
        <v>175</v>
      </c>
      <c r="G1959" t="s">
        <v>17</v>
      </c>
      <c r="H1959" t="s">
        <v>18</v>
      </c>
      <c r="I1959" t="s">
        <v>252</v>
      </c>
      <c r="J1959" t="s">
        <v>253</v>
      </c>
      <c r="K1959" t="s">
        <v>1421</v>
      </c>
      <c r="L1959" t="s">
        <v>63</v>
      </c>
      <c r="M1959" s="1">
        <v>36594</v>
      </c>
      <c r="N1959">
        <v>2000</v>
      </c>
    </row>
    <row r="1960" spans="1:14">
      <c r="A1960" t="s">
        <v>14</v>
      </c>
      <c r="B1960" t="str">
        <f>"111407200500"</f>
        <v>111407200500</v>
      </c>
      <c r="C1960" t="s">
        <v>251</v>
      </c>
      <c r="D1960" t="s">
        <v>50</v>
      </c>
      <c r="G1960" t="s">
        <v>17</v>
      </c>
      <c r="H1960" t="s">
        <v>39</v>
      </c>
      <c r="I1960" t="s">
        <v>252</v>
      </c>
      <c r="J1960" t="s">
        <v>253</v>
      </c>
      <c r="K1960" t="s">
        <v>254</v>
      </c>
      <c r="M1960" s="1">
        <v>38547</v>
      </c>
      <c r="N1960">
        <v>2005</v>
      </c>
    </row>
    <row r="1961" spans="1:14">
      <c r="A1961" t="s">
        <v>14</v>
      </c>
      <c r="B1961" t="str">
        <f>"110707200500"</f>
        <v>110707200500</v>
      </c>
      <c r="C1961" t="s">
        <v>599</v>
      </c>
      <c r="D1961" t="s">
        <v>534</v>
      </c>
      <c r="G1961" t="s">
        <v>17</v>
      </c>
      <c r="H1961" t="s">
        <v>39</v>
      </c>
      <c r="I1961" t="s">
        <v>252</v>
      </c>
      <c r="J1961" t="s">
        <v>253</v>
      </c>
      <c r="K1961" t="s">
        <v>600</v>
      </c>
      <c r="M1961" s="1">
        <v>38540</v>
      </c>
      <c r="N1961">
        <v>2005</v>
      </c>
    </row>
    <row r="1962" spans="1:14">
      <c r="A1962" t="s">
        <v>14</v>
      </c>
      <c r="B1962" t="str">
        <f>"110907200500"</f>
        <v>110907200500</v>
      </c>
      <c r="C1962" t="s">
        <v>626</v>
      </c>
      <c r="D1962" t="s">
        <v>294</v>
      </c>
      <c r="G1962" t="s">
        <v>17</v>
      </c>
      <c r="H1962" t="s">
        <v>39</v>
      </c>
      <c r="I1962" t="s">
        <v>252</v>
      </c>
      <c r="J1962" t="s">
        <v>253</v>
      </c>
      <c r="K1962" t="s">
        <v>254</v>
      </c>
      <c r="M1962" s="1">
        <v>38542</v>
      </c>
      <c r="N1962">
        <v>2005</v>
      </c>
    </row>
    <row r="1963" spans="1:14">
      <c r="A1963" t="s">
        <v>14</v>
      </c>
      <c r="B1963" t="str">
        <f>"110508200401"</f>
        <v>110508200401</v>
      </c>
      <c r="C1963" t="s">
        <v>839</v>
      </c>
      <c r="D1963" t="s">
        <v>89</v>
      </c>
      <c r="G1963" t="s">
        <v>17</v>
      </c>
      <c r="H1963" t="s">
        <v>39</v>
      </c>
      <c r="I1963" t="s">
        <v>252</v>
      </c>
      <c r="J1963" t="s">
        <v>253</v>
      </c>
      <c r="K1963" t="s">
        <v>254</v>
      </c>
      <c r="L1963" t="s">
        <v>22</v>
      </c>
      <c r="M1963" s="1">
        <v>38204</v>
      </c>
      <c r="N1963">
        <v>2004</v>
      </c>
    </row>
    <row r="1964" spans="1:14">
      <c r="A1964" t="s">
        <v>14</v>
      </c>
      <c r="B1964" t="str">
        <f>"110508200400"</f>
        <v>110508200400</v>
      </c>
      <c r="C1964" t="s">
        <v>870</v>
      </c>
      <c r="D1964" t="s">
        <v>256</v>
      </c>
      <c r="G1964" t="s">
        <v>17</v>
      </c>
      <c r="H1964" t="s">
        <v>39</v>
      </c>
      <c r="I1964" t="s">
        <v>252</v>
      </c>
      <c r="J1964" t="s">
        <v>253</v>
      </c>
      <c r="K1964" t="s">
        <v>254</v>
      </c>
      <c r="L1964" t="s">
        <v>22</v>
      </c>
      <c r="M1964" s="1">
        <v>38204</v>
      </c>
      <c r="N1964">
        <v>2004</v>
      </c>
    </row>
    <row r="1965" spans="1:14">
      <c r="A1965" t="s">
        <v>14</v>
      </c>
      <c r="B1965" t="str">
        <f>"111107200500"</f>
        <v>111107200500</v>
      </c>
      <c r="C1965" t="s">
        <v>933</v>
      </c>
      <c r="D1965" t="s">
        <v>120</v>
      </c>
      <c r="G1965" t="s">
        <v>17</v>
      </c>
      <c r="H1965" t="s">
        <v>39</v>
      </c>
      <c r="I1965" t="s">
        <v>252</v>
      </c>
      <c r="J1965" t="s">
        <v>253</v>
      </c>
      <c r="K1965" t="s">
        <v>600</v>
      </c>
      <c r="M1965" s="1">
        <v>38544</v>
      </c>
      <c r="N1965">
        <v>2005</v>
      </c>
    </row>
    <row r="1966" spans="1:14">
      <c r="A1966" t="s">
        <v>14</v>
      </c>
      <c r="B1966" t="str">
        <f>"113012200400"</f>
        <v>113012200400</v>
      </c>
      <c r="C1966" t="s">
        <v>936</v>
      </c>
      <c r="D1966" t="s">
        <v>98</v>
      </c>
      <c r="G1966" t="s">
        <v>17</v>
      </c>
      <c r="H1966" t="s">
        <v>39</v>
      </c>
      <c r="I1966" t="s">
        <v>252</v>
      </c>
      <c r="J1966" t="s">
        <v>253</v>
      </c>
      <c r="K1966" t="s">
        <v>600</v>
      </c>
      <c r="M1966" s="1">
        <v>38351</v>
      </c>
      <c r="N1966">
        <v>2004</v>
      </c>
    </row>
    <row r="1967" spans="1:14">
      <c r="A1967" t="s">
        <v>14</v>
      </c>
      <c r="B1967" t="str">
        <f>"111301200401"</f>
        <v>111301200401</v>
      </c>
      <c r="C1967" t="s">
        <v>1326</v>
      </c>
      <c r="D1967" t="s">
        <v>728</v>
      </c>
      <c r="G1967" t="s">
        <v>17</v>
      </c>
      <c r="H1967" t="s">
        <v>39</v>
      </c>
      <c r="I1967" t="s">
        <v>252</v>
      </c>
      <c r="J1967" t="s">
        <v>253</v>
      </c>
      <c r="K1967" t="s">
        <v>600</v>
      </c>
      <c r="M1967" s="1">
        <v>37999</v>
      </c>
      <c r="N1967">
        <v>2004</v>
      </c>
    </row>
    <row r="1968" spans="1:14">
      <c r="A1968" t="s">
        <v>14</v>
      </c>
      <c r="B1968" t="str">
        <f>"110206200500"</f>
        <v>110206200500</v>
      </c>
      <c r="C1968" t="s">
        <v>1426</v>
      </c>
      <c r="D1968" t="s">
        <v>1427</v>
      </c>
      <c r="G1968" t="s">
        <v>17</v>
      </c>
      <c r="H1968" t="s">
        <v>39</v>
      </c>
      <c r="I1968" t="s">
        <v>252</v>
      </c>
      <c r="J1968" t="s">
        <v>253</v>
      </c>
      <c r="K1968" t="s">
        <v>254</v>
      </c>
      <c r="M1968" s="1">
        <v>38505</v>
      </c>
      <c r="N1968">
        <v>2005</v>
      </c>
    </row>
    <row r="1969" spans="1:14">
      <c r="A1969" t="s">
        <v>14</v>
      </c>
      <c r="B1969" t="str">
        <f>"111805200500"</f>
        <v>111805200500</v>
      </c>
      <c r="C1969" t="s">
        <v>1905</v>
      </c>
      <c r="D1969" t="s">
        <v>292</v>
      </c>
      <c r="G1969" t="s">
        <v>17</v>
      </c>
      <c r="H1969" t="s">
        <v>39</v>
      </c>
      <c r="I1969" t="s">
        <v>252</v>
      </c>
      <c r="J1969" t="s">
        <v>253</v>
      </c>
      <c r="K1969" t="s">
        <v>254</v>
      </c>
      <c r="M1969" s="1">
        <v>38490</v>
      </c>
      <c r="N1969">
        <v>2005</v>
      </c>
    </row>
    <row r="1970" spans="1:14">
      <c r="A1970" t="s">
        <v>14</v>
      </c>
      <c r="B1970" t="str">
        <f>"111702200500"</f>
        <v>111702200500</v>
      </c>
      <c r="C1970" t="s">
        <v>2008</v>
      </c>
      <c r="D1970" t="s">
        <v>268</v>
      </c>
      <c r="G1970" t="s">
        <v>17</v>
      </c>
      <c r="H1970" t="s">
        <v>39</v>
      </c>
      <c r="I1970" t="s">
        <v>252</v>
      </c>
      <c r="J1970" t="s">
        <v>253</v>
      </c>
      <c r="K1970" t="s">
        <v>254</v>
      </c>
      <c r="M1970" s="1">
        <v>38400</v>
      </c>
      <c r="N1970">
        <v>2005</v>
      </c>
    </row>
    <row r="1971" spans="1:14">
      <c r="A1971" t="s">
        <v>14</v>
      </c>
      <c r="B1971" t="str">
        <f>"112209200400"</f>
        <v>112209200400</v>
      </c>
      <c r="C1971" t="s">
        <v>2286</v>
      </c>
      <c r="D1971" t="s">
        <v>50</v>
      </c>
      <c r="G1971" t="s">
        <v>17</v>
      </c>
      <c r="H1971" t="s">
        <v>39</v>
      </c>
      <c r="I1971" t="s">
        <v>252</v>
      </c>
      <c r="J1971" t="s">
        <v>253</v>
      </c>
      <c r="K1971" t="s">
        <v>254</v>
      </c>
      <c r="L1971" t="s">
        <v>22</v>
      </c>
      <c r="M1971" s="1">
        <v>38252</v>
      </c>
      <c r="N1971">
        <v>2004</v>
      </c>
    </row>
    <row r="1972" spans="1:14">
      <c r="A1972" t="s">
        <v>14</v>
      </c>
      <c r="B1972" t="str">
        <f>"113101200500"</f>
        <v>113101200500</v>
      </c>
      <c r="C1972" t="s">
        <v>2711</v>
      </c>
      <c r="D1972" t="s">
        <v>1970</v>
      </c>
      <c r="G1972" t="s">
        <v>17</v>
      </c>
      <c r="H1972" t="s">
        <v>39</v>
      </c>
      <c r="I1972" t="s">
        <v>252</v>
      </c>
      <c r="J1972" t="s">
        <v>253</v>
      </c>
      <c r="K1972" t="s">
        <v>254</v>
      </c>
      <c r="M1972" s="1">
        <v>38383</v>
      </c>
      <c r="N1972">
        <v>2005</v>
      </c>
    </row>
    <row r="1973" spans="1:14">
      <c r="A1973" t="s">
        <v>14</v>
      </c>
      <c r="B1973" t="str">
        <f>"112405200200"</f>
        <v>112405200200</v>
      </c>
      <c r="C1973" t="s">
        <v>519</v>
      </c>
      <c r="D1973" t="s">
        <v>120</v>
      </c>
      <c r="G1973" t="s">
        <v>17</v>
      </c>
      <c r="H1973" t="s">
        <v>51</v>
      </c>
      <c r="I1973" t="s">
        <v>252</v>
      </c>
      <c r="J1973" t="s">
        <v>253</v>
      </c>
      <c r="K1973" t="s">
        <v>427</v>
      </c>
      <c r="L1973" t="s">
        <v>63</v>
      </c>
      <c r="M1973" s="1">
        <v>37400</v>
      </c>
      <c r="N1973">
        <v>2002</v>
      </c>
    </row>
    <row r="1974" spans="1:14">
      <c r="A1974" t="s">
        <v>14</v>
      </c>
      <c r="B1974" t="str">
        <f>"111706200300"</f>
        <v>111706200300</v>
      </c>
      <c r="C1974" t="s">
        <v>1220</v>
      </c>
      <c r="D1974" t="s">
        <v>89</v>
      </c>
      <c r="G1974" t="s">
        <v>17</v>
      </c>
      <c r="H1974" t="s">
        <v>51</v>
      </c>
      <c r="I1974" t="s">
        <v>252</v>
      </c>
      <c r="J1974" t="s">
        <v>253</v>
      </c>
      <c r="K1974" t="s">
        <v>427</v>
      </c>
      <c r="M1974" s="1">
        <v>37789</v>
      </c>
      <c r="N1974">
        <v>2003</v>
      </c>
    </row>
    <row r="1975" spans="1:14">
      <c r="A1975" t="s">
        <v>14</v>
      </c>
      <c r="B1975" t="str">
        <f>"112507200201"</f>
        <v>112507200201</v>
      </c>
      <c r="C1975" t="s">
        <v>1907</v>
      </c>
      <c r="D1975" t="s">
        <v>24</v>
      </c>
      <c r="G1975" t="s">
        <v>17</v>
      </c>
      <c r="H1975" t="s">
        <v>51</v>
      </c>
      <c r="I1975" t="s">
        <v>252</v>
      </c>
      <c r="J1975" t="s">
        <v>253</v>
      </c>
      <c r="K1975" t="s">
        <v>427</v>
      </c>
      <c r="L1975" t="s">
        <v>22</v>
      </c>
      <c r="M1975" s="1">
        <v>37462</v>
      </c>
      <c r="N1975">
        <v>2002</v>
      </c>
    </row>
    <row r="1976" spans="1:14">
      <c r="A1976" t="s">
        <v>14</v>
      </c>
      <c r="B1976" t="str">
        <f>"112503200300"</f>
        <v>112503200300</v>
      </c>
      <c r="C1976" t="s">
        <v>1977</v>
      </c>
      <c r="D1976" t="s">
        <v>221</v>
      </c>
      <c r="G1976" t="s">
        <v>17</v>
      </c>
      <c r="H1976" t="s">
        <v>51</v>
      </c>
      <c r="I1976" t="s">
        <v>252</v>
      </c>
      <c r="J1976" t="s">
        <v>253</v>
      </c>
      <c r="K1976" t="s">
        <v>427</v>
      </c>
      <c r="L1976" t="s">
        <v>22</v>
      </c>
      <c r="M1976" s="1">
        <v>37705</v>
      </c>
      <c r="N1976">
        <v>2003</v>
      </c>
    </row>
    <row r="1977" spans="1:14">
      <c r="A1977" t="s">
        <v>14</v>
      </c>
      <c r="B1977" t="str">
        <f>"112402200200"</f>
        <v>112402200200</v>
      </c>
      <c r="C1977" t="s">
        <v>2175</v>
      </c>
      <c r="D1977" t="s">
        <v>268</v>
      </c>
      <c r="G1977" t="s">
        <v>17</v>
      </c>
      <c r="H1977" t="s">
        <v>51</v>
      </c>
      <c r="I1977" t="s">
        <v>252</v>
      </c>
      <c r="J1977" t="s">
        <v>253</v>
      </c>
      <c r="K1977" t="s">
        <v>427</v>
      </c>
      <c r="L1977" t="s">
        <v>22</v>
      </c>
      <c r="M1977" s="1">
        <v>37311</v>
      </c>
      <c r="N1977">
        <v>2002</v>
      </c>
    </row>
    <row r="1978" spans="1:14">
      <c r="A1978" t="s">
        <v>14</v>
      </c>
      <c r="B1978" t="str">
        <f>"112603200300"</f>
        <v>112603200300</v>
      </c>
      <c r="C1978" t="s">
        <v>2234</v>
      </c>
      <c r="D1978" t="s">
        <v>268</v>
      </c>
      <c r="G1978" t="s">
        <v>17</v>
      </c>
      <c r="H1978" t="s">
        <v>51</v>
      </c>
      <c r="I1978" t="s">
        <v>252</v>
      </c>
      <c r="J1978" t="s">
        <v>253</v>
      </c>
      <c r="K1978" t="s">
        <v>1421</v>
      </c>
      <c r="M1978" s="1">
        <v>37706</v>
      </c>
      <c r="N1978">
        <v>2003</v>
      </c>
    </row>
    <row r="1979" spans="1:14">
      <c r="A1979" t="s">
        <v>14</v>
      </c>
      <c r="B1979" t="str">
        <f>"112209200300"</f>
        <v>112209200300</v>
      </c>
      <c r="C1979" t="s">
        <v>2729</v>
      </c>
      <c r="D1979" t="s">
        <v>95</v>
      </c>
      <c r="G1979" t="s">
        <v>17</v>
      </c>
      <c r="H1979" t="s">
        <v>51</v>
      </c>
      <c r="I1979" t="s">
        <v>252</v>
      </c>
      <c r="J1979" t="s">
        <v>253</v>
      </c>
      <c r="K1979" t="s">
        <v>1421</v>
      </c>
      <c r="M1979" s="1">
        <v>37886</v>
      </c>
      <c r="N1979">
        <v>2003</v>
      </c>
    </row>
    <row r="1980" spans="1:14">
      <c r="A1980" t="s">
        <v>14</v>
      </c>
      <c r="B1980" t="str">
        <f>"120402200400"</f>
        <v>120402200400</v>
      </c>
      <c r="C1980" t="s">
        <v>237</v>
      </c>
      <c r="D1980" t="s">
        <v>238</v>
      </c>
      <c r="G1980" t="s">
        <v>32</v>
      </c>
      <c r="H1980" t="s">
        <v>33</v>
      </c>
      <c r="I1980" t="s">
        <v>195</v>
      </c>
      <c r="J1980" t="s">
        <v>196</v>
      </c>
      <c r="K1980" t="s">
        <v>239</v>
      </c>
      <c r="L1980" t="s">
        <v>22</v>
      </c>
      <c r="M1980" s="1">
        <v>38021</v>
      </c>
      <c r="N1980">
        <v>2004</v>
      </c>
    </row>
    <row r="1981" spans="1:14">
      <c r="A1981" t="s">
        <v>14</v>
      </c>
      <c r="B1981" t="str">
        <f>"123008200400"</f>
        <v>123008200400</v>
      </c>
      <c r="C1981" t="s">
        <v>771</v>
      </c>
      <c r="D1981" t="s">
        <v>772</v>
      </c>
      <c r="G1981" t="s">
        <v>32</v>
      </c>
      <c r="H1981" t="s">
        <v>33</v>
      </c>
      <c r="I1981" t="s">
        <v>195</v>
      </c>
      <c r="J1981" t="s">
        <v>196</v>
      </c>
      <c r="K1981" t="s">
        <v>614</v>
      </c>
      <c r="L1981" t="s">
        <v>22</v>
      </c>
      <c r="M1981" s="1">
        <v>38229</v>
      </c>
      <c r="N1981">
        <v>2004</v>
      </c>
    </row>
    <row r="1982" spans="1:14">
      <c r="A1982" t="s">
        <v>14</v>
      </c>
      <c r="B1982" t="str">
        <f>"121403200401"</f>
        <v>121403200401</v>
      </c>
      <c r="C1982" t="s">
        <v>1063</v>
      </c>
      <c r="D1982" t="s">
        <v>238</v>
      </c>
      <c r="G1982" t="s">
        <v>32</v>
      </c>
      <c r="H1982" t="s">
        <v>33</v>
      </c>
      <c r="I1982" t="s">
        <v>195</v>
      </c>
      <c r="J1982" t="s">
        <v>196</v>
      </c>
      <c r="K1982" t="s">
        <v>239</v>
      </c>
      <c r="M1982" s="1">
        <v>38060</v>
      </c>
      <c r="N1982">
        <v>2004</v>
      </c>
    </row>
    <row r="1983" spans="1:14">
      <c r="A1983" t="s">
        <v>14</v>
      </c>
      <c r="B1983" t="str">
        <f>"121807200400"</f>
        <v>121807200400</v>
      </c>
      <c r="C1983" t="s">
        <v>1145</v>
      </c>
      <c r="D1983" t="s">
        <v>232</v>
      </c>
      <c r="G1983" t="s">
        <v>32</v>
      </c>
      <c r="H1983" t="s">
        <v>33</v>
      </c>
      <c r="I1983" t="s">
        <v>195</v>
      </c>
      <c r="J1983" t="s">
        <v>196</v>
      </c>
      <c r="K1983" t="s">
        <v>239</v>
      </c>
      <c r="L1983" t="s">
        <v>22</v>
      </c>
      <c r="M1983" s="1">
        <v>38186</v>
      </c>
      <c r="N1983">
        <v>2004</v>
      </c>
    </row>
    <row r="1984" spans="1:14">
      <c r="A1984" t="s">
        <v>14</v>
      </c>
      <c r="B1984" t="str">
        <f>"121210200400"</f>
        <v>121210200400</v>
      </c>
      <c r="C1984" t="s">
        <v>1607</v>
      </c>
      <c r="D1984" t="s">
        <v>127</v>
      </c>
      <c r="G1984" t="s">
        <v>32</v>
      </c>
      <c r="H1984" t="s">
        <v>33</v>
      </c>
      <c r="I1984" t="s">
        <v>195</v>
      </c>
      <c r="J1984" t="s">
        <v>196</v>
      </c>
      <c r="K1984" t="s">
        <v>274</v>
      </c>
      <c r="L1984" t="s">
        <v>22</v>
      </c>
      <c r="M1984" s="1">
        <v>38272</v>
      </c>
      <c r="N1984">
        <v>2004</v>
      </c>
    </row>
    <row r="1985" spans="1:14">
      <c r="A1985" t="s">
        <v>14</v>
      </c>
      <c r="B1985" t="str">
        <f>"120409200400"</f>
        <v>120409200400</v>
      </c>
      <c r="C1985" t="s">
        <v>2758</v>
      </c>
      <c r="D1985" t="s">
        <v>64</v>
      </c>
      <c r="G1985" t="s">
        <v>32</v>
      </c>
      <c r="H1985" t="s">
        <v>33</v>
      </c>
      <c r="I1985" t="s">
        <v>195</v>
      </c>
      <c r="J1985" t="s">
        <v>196</v>
      </c>
      <c r="K1985" t="s">
        <v>614</v>
      </c>
      <c r="L1985" t="s">
        <v>22</v>
      </c>
      <c r="M1985" s="1">
        <v>38234</v>
      </c>
      <c r="N1985">
        <v>2004</v>
      </c>
    </row>
    <row r="1986" spans="1:14">
      <c r="A1986" t="s">
        <v>14</v>
      </c>
      <c r="B1986" t="str">
        <f>"122904200400"</f>
        <v>122904200400</v>
      </c>
      <c r="C1986" t="s">
        <v>2808</v>
      </c>
      <c r="D1986" t="s">
        <v>184</v>
      </c>
      <c r="G1986" t="s">
        <v>32</v>
      </c>
      <c r="H1986" t="s">
        <v>33</v>
      </c>
      <c r="I1986" t="s">
        <v>195</v>
      </c>
      <c r="J1986" t="s">
        <v>196</v>
      </c>
      <c r="K1986" t="s">
        <v>239</v>
      </c>
      <c r="L1986" t="s">
        <v>22</v>
      </c>
      <c r="M1986" s="1">
        <v>38106</v>
      </c>
      <c r="N1986">
        <v>2004</v>
      </c>
    </row>
    <row r="1987" spans="1:14">
      <c r="A1987" t="s">
        <v>14</v>
      </c>
      <c r="B1987" t="str">
        <f>"122609200200"</f>
        <v>122609200200</v>
      </c>
      <c r="C1987" t="s">
        <v>646</v>
      </c>
      <c r="D1987" t="s">
        <v>58</v>
      </c>
      <c r="G1987" t="s">
        <v>32</v>
      </c>
      <c r="H1987" t="s">
        <v>65</v>
      </c>
      <c r="I1987" t="s">
        <v>195</v>
      </c>
      <c r="J1987" t="s">
        <v>196</v>
      </c>
      <c r="K1987" t="s">
        <v>647</v>
      </c>
      <c r="L1987" t="s">
        <v>22</v>
      </c>
      <c r="M1987" s="1">
        <v>37525</v>
      </c>
      <c r="N1987">
        <v>2002</v>
      </c>
    </row>
    <row r="1988" spans="1:14">
      <c r="A1988" t="s">
        <v>14</v>
      </c>
      <c r="B1988" t="str">
        <f>"121411200301"</f>
        <v>121411200301</v>
      </c>
      <c r="C1988" t="s">
        <v>765</v>
      </c>
      <c r="D1988" t="s">
        <v>380</v>
      </c>
      <c r="G1988" t="s">
        <v>32</v>
      </c>
      <c r="H1988" t="s">
        <v>65</v>
      </c>
      <c r="I1988" t="s">
        <v>195</v>
      </c>
      <c r="J1988" t="s">
        <v>196</v>
      </c>
      <c r="K1988" t="s">
        <v>239</v>
      </c>
      <c r="L1988" t="s">
        <v>22</v>
      </c>
      <c r="M1988" s="1">
        <v>37939</v>
      </c>
      <c r="N1988">
        <v>2003</v>
      </c>
    </row>
    <row r="1989" spans="1:14">
      <c r="A1989" t="s">
        <v>14</v>
      </c>
      <c r="B1989" t="str">
        <f>"121209200300"</f>
        <v>121209200300</v>
      </c>
      <c r="C1989" t="s">
        <v>862</v>
      </c>
      <c r="D1989" t="s">
        <v>863</v>
      </c>
      <c r="G1989" t="s">
        <v>32</v>
      </c>
      <c r="H1989" t="s">
        <v>65</v>
      </c>
      <c r="I1989" t="s">
        <v>195</v>
      </c>
      <c r="J1989" t="s">
        <v>196</v>
      </c>
      <c r="K1989" t="s">
        <v>614</v>
      </c>
      <c r="L1989" t="s">
        <v>63</v>
      </c>
      <c r="M1989" s="1">
        <v>37876</v>
      </c>
      <c r="N1989">
        <v>2003</v>
      </c>
    </row>
    <row r="1990" spans="1:14">
      <c r="A1990" t="s">
        <v>14</v>
      </c>
      <c r="B1990" t="str">
        <f>"123009200300"</f>
        <v>123009200300</v>
      </c>
      <c r="C1990" t="s">
        <v>1341</v>
      </c>
      <c r="D1990" t="s">
        <v>1304</v>
      </c>
      <c r="G1990" t="s">
        <v>32</v>
      </c>
      <c r="H1990" t="s">
        <v>65</v>
      </c>
      <c r="I1990" t="s">
        <v>195</v>
      </c>
      <c r="J1990" t="s">
        <v>196</v>
      </c>
      <c r="K1990" t="s">
        <v>439</v>
      </c>
      <c r="L1990" t="s">
        <v>22</v>
      </c>
      <c r="M1990" s="1">
        <v>37894</v>
      </c>
      <c r="N1990">
        <v>2003</v>
      </c>
    </row>
    <row r="1991" spans="1:14">
      <c r="A1991" t="s">
        <v>14</v>
      </c>
      <c r="B1991" t="str">
        <f>"122208200300"</f>
        <v>122208200300</v>
      </c>
      <c r="C1991" t="s">
        <v>1450</v>
      </c>
      <c r="D1991" t="s">
        <v>184</v>
      </c>
      <c r="G1991" t="s">
        <v>32</v>
      </c>
      <c r="H1991" t="s">
        <v>65</v>
      </c>
      <c r="I1991" t="s">
        <v>195</v>
      </c>
      <c r="J1991" t="s">
        <v>196</v>
      </c>
      <c r="K1991" t="s">
        <v>239</v>
      </c>
      <c r="L1991" t="s">
        <v>22</v>
      </c>
      <c r="M1991" s="1">
        <v>37855</v>
      </c>
      <c r="N1991">
        <v>2003</v>
      </c>
    </row>
    <row r="1992" spans="1:14">
      <c r="A1992" t="s">
        <v>14</v>
      </c>
      <c r="B1992" t="str">
        <f>"122306200200"</f>
        <v>122306200200</v>
      </c>
      <c r="C1992" t="s">
        <v>1482</v>
      </c>
      <c r="D1992" t="s">
        <v>234</v>
      </c>
      <c r="G1992" t="s">
        <v>32</v>
      </c>
      <c r="H1992" t="s">
        <v>65</v>
      </c>
      <c r="I1992" t="s">
        <v>195</v>
      </c>
      <c r="J1992" t="s">
        <v>196</v>
      </c>
      <c r="K1992" t="s">
        <v>197</v>
      </c>
      <c r="L1992" t="s">
        <v>22</v>
      </c>
      <c r="M1992" s="1">
        <v>37430</v>
      </c>
      <c r="N1992">
        <v>2002</v>
      </c>
    </row>
    <row r="1993" spans="1:14">
      <c r="A1993" t="s">
        <v>14</v>
      </c>
      <c r="B1993" t="str">
        <f>"121406200300"</f>
        <v>121406200300</v>
      </c>
      <c r="C1993" t="s">
        <v>1515</v>
      </c>
      <c r="D1993" t="s">
        <v>279</v>
      </c>
      <c r="G1993" t="s">
        <v>32</v>
      </c>
      <c r="H1993" t="s">
        <v>65</v>
      </c>
      <c r="I1993" t="s">
        <v>195</v>
      </c>
      <c r="J1993" t="s">
        <v>196</v>
      </c>
      <c r="K1993" t="s">
        <v>439</v>
      </c>
      <c r="L1993" t="s">
        <v>202</v>
      </c>
      <c r="M1993" s="1">
        <v>37786</v>
      </c>
      <c r="N1993">
        <v>2003</v>
      </c>
    </row>
    <row r="1994" spans="1:14">
      <c r="A1994" t="s">
        <v>14</v>
      </c>
      <c r="B1994" t="str">
        <f>"120801200301"</f>
        <v>120801200301</v>
      </c>
      <c r="C1994" t="s">
        <v>1772</v>
      </c>
      <c r="D1994" t="s">
        <v>58</v>
      </c>
      <c r="G1994" t="s">
        <v>32</v>
      </c>
      <c r="H1994" t="s">
        <v>65</v>
      </c>
      <c r="I1994" t="s">
        <v>195</v>
      </c>
      <c r="J1994" t="s">
        <v>196</v>
      </c>
      <c r="K1994" t="s">
        <v>239</v>
      </c>
      <c r="L1994" t="s">
        <v>63</v>
      </c>
      <c r="M1994" s="1">
        <v>37629</v>
      </c>
      <c r="N1994">
        <v>2003</v>
      </c>
    </row>
    <row r="1995" spans="1:14">
      <c r="A1995" t="s">
        <v>14</v>
      </c>
      <c r="B1995" t="str">
        <f>"122710200200"</f>
        <v>122710200200</v>
      </c>
      <c r="C1995" t="s">
        <v>1772</v>
      </c>
      <c r="D1995" t="s">
        <v>233</v>
      </c>
      <c r="G1995" t="s">
        <v>32</v>
      </c>
      <c r="H1995" t="s">
        <v>65</v>
      </c>
      <c r="I1995" t="s">
        <v>195</v>
      </c>
      <c r="J1995" t="s">
        <v>196</v>
      </c>
      <c r="K1995" t="s">
        <v>239</v>
      </c>
      <c r="L1995" t="s">
        <v>63</v>
      </c>
      <c r="M1995" s="1">
        <v>37556</v>
      </c>
      <c r="N1995">
        <v>2002</v>
      </c>
    </row>
    <row r="1996" spans="1:14">
      <c r="A1996" t="s">
        <v>14</v>
      </c>
      <c r="B1996" t="str">
        <f>"122001200300"</f>
        <v>122001200300</v>
      </c>
      <c r="C1996" t="s">
        <v>2014</v>
      </c>
      <c r="D1996" t="s">
        <v>233</v>
      </c>
      <c r="G1996" t="s">
        <v>32</v>
      </c>
      <c r="H1996" t="s">
        <v>65</v>
      </c>
      <c r="I1996" t="s">
        <v>195</v>
      </c>
      <c r="J1996" t="s">
        <v>196</v>
      </c>
      <c r="K1996" t="s">
        <v>647</v>
      </c>
      <c r="L1996" t="s">
        <v>63</v>
      </c>
      <c r="M1996" s="1">
        <v>37641</v>
      </c>
      <c r="N1996">
        <v>2003</v>
      </c>
    </row>
    <row r="1997" spans="1:14">
      <c r="A1997" t="s">
        <v>14</v>
      </c>
      <c r="B1997" t="str">
        <f>"112703200202"</f>
        <v>112703200202</v>
      </c>
      <c r="C1997" t="s">
        <v>2183</v>
      </c>
      <c r="D1997" t="s">
        <v>184</v>
      </c>
      <c r="G1997" t="s">
        <v>32</v>
      </c>
      <c r="H1997" t="s">
        <v>65</v>
      </c>
      <c r="I1997" t="s">
        <v>195</v>
      </c>
      <c r="J1997" t="s">
        <v>196</v>
      </c>
      <c r="K1997" t="s">
        <v>516</v>
      </c>
      <c r="L1997" t="s">
        <v>22</v>
      </c>
      <c r="M1997" s="1">
        <v>37342</v>
      </c>
      <c r="N1997">
        <v>2002</v>
      </c>
    </row>
    <row r="1998" spans="1:14">
      <c r="A1998" t="s">
        <v>14</v>
      </c>
      <c r="B1998" t="str">
        <f>"121311200200"</f>
        <v>121311200200</v>
      </c>
      <c r="C1998" t="s">
        <v>2364</v>
      </c>
      <c r="D1998" t="s">
        <v>2365</v>
      </c>
      <c r="G1998" t="s">
        <v>32</v>
      </c>
      <c r="H1998" t="s">
        <v>65</v>
      </c>
      <c r="I1998" t="s">
        <v>195</v>
      </c>
      <c r="J1998" t="s">
        <v>196</v>
      </c>
      <c r="K1998" t="s">
        <v>647</v>
      </c>
      <c r="L1998" t="s">
        <v>63</v>
      </c>
      <c r="M1998" s="1">
        <v>37573</v>
      </c>
      <c r="N1998">
        <v>2002</v>
      </c>
    </row>
    <row r="1999" spans="1:14">
      <c r="A1999" t="s">
        <v>14</v>
      </c>
      <c r="B1999" t="str">
        <f>"121311200300"</f>
        <v>121311200300</v>
      </c>
      <c r="C1999" t="s">
        <v>2422</v>
      </c>
      <c r="D1999" t="s">
        <v>2423</v>
      </c>
      <c r="G1999" t="s">
        <v>32</v>
      </c>
      <c r="H1999" t="s">
        <v>65</v>
      </c>
      <c r="I1999" t="s">
        <v>195</v>
      </c>
      <c r="J1999" t="s">
        <v>196</v>
      </c>
      <c r="K1999" t="s">
        <v>239</v>
      </c>
      <c r="L1999" t="s">
        <v>22</v>
      </c>
      <c r="M1999" s="1">
        <v>37938</v>
      </c>
      <c r="N1999">
        <v>2003</v>
      </c>
    </row>
    <row r="2000" spans="1:14">
      <c r="A2000" t="s">
        <v>14</v>
      </c>
      <c r="B2000" t="str">
        <f>"120905200200"</f>
        <v>120905200200</v>
      </c>
      <c r="C2000" t="s">
        <v>2473</v>
      </c>
      <c r="D2000" t="s">
        <v>127</v>
      </c>
      <c r="G2000" t="s">
        <v>32</v>
      </c>
      <c r="H2000" t="s">
        <v>65</v>
      </c>
      <c r="I2000" t="s">
        <v>195</v>
      </c>
      <c r="J2000" t="s">
        <v>196</v>
      </c>
      <c r="K2000" t="s">
        <v>614</v>
      </c>
      <c r="M2000" s="1">
        <v>37385</v>
      </c>
      <c r="N2000">
        <v>2002</v>
      </c>
    </row>
    <row r="2001" spans="1:14">
      <c r="A2001" t="s">
        <v>14</v>
      </c>
      <c r="B2001" t="str">
        <f>"122309200300"</f>
        <v>122309200300</v>
      </c>
      <c r="C2001" t="s">
        <v>2521</v>
      </c>
      <c r="D2001" t="s">
        <v>510</v>
      </c>
      <c r="G2001" t="s">
        <v>32</v>
      </c>
      <c r="H2001" t="s">
        <v>65</v>
      </c>
      <c r="I2001" t="s">
        <v>195</v>
      </c>
      <c r="J2001" t="s">
        <v>196</v>
      </c>
      <c r="K2001" t="s">
        <v>1854</v>
      </c>
      <c r="L2001" t="s">
        <v>22</v>
      </c>
      <c r="M2001" s="1">
        <v>37887</v>
      </c>
      <c r="N2001">
        <v>2003</v>
      </c>
    </row>
    <row r="2002" spans="1:14">
      <c r="A2002" t="s">
        <v>14</v>
      </c>
      <c r="B2002" t="str">
        <f>"123112200200"</f>
        <v>123112200200</v>
      </c>
      <c r="C2002" t="s">
        <v>2574</v>
      </c>
      <c r="D2002" t="s">
        <v>194</v>
      </c>
      <c r="G2002" t="s">
        <v>32</v>
      </c>
      <c r="H2002" t="s">
        <v>65</v>
      </c>
      <c r="I2002" t="s">
        <v>195</v>
      </c>
      <c r="J2002" t="s">
        <v>196</v>
      </c>
      <c r="K2002" t="s">
        <v>197</v>
      </c>
      <c r="M2002" s="1">
        <v>37621</v>
      </c>
      <c r="N2002">
        <v>2002</v>
      </c>
    </row>
    <row r="2003" spans="1:14">
      <c r="A2003" t="s">
        <v>14</v>
      </c>
      <c r="B2003" t="str">
        <f>"122604200201"</f>
        <v>122604200201</v>
      </c>
      <c r="C2003" t="s">
        <v>2904</v>
      </c>
      <c r="D2003" t="s">
        <v>232</v>
      </c>
      <c r="G2003" t="s">
        <v>32</v>
      </c>
      <c r="H2003" t="s">
        <v>65</v>
      </c>
      <c r="I2003" t="s">
        <v>195</v>
      </c>
      <c r="J2003" t="s">
        <v>196</v>
      </c>
      <c r="K2003" t="s">
        <v>516</v>
      </c>
      <c r="L2003" t="s">
        <v>22</v>
      </c>
      <c r="M2003" s="1">
        <v>37372</v>
      </c>
      <c r="N2003">
        <v>2002</v>
      </c>
    </row>
    <row r="2004" spans="1:14">
      <c r="A2004" t="s">
        <v>14</v>
      </c>
      <c r="B2004" t="str">
        <f>"121012200200"</f>
        <v>121012200200</v>
      </c>
      <c r="C2004" t="s">
        <v>2926</v>
      </c>
      <c r="D2004" t="s">
        <v>232</v>
      </c>
      <c r="G2004" t="s">
        <v>32</v>
      </c>
      <c r="H2004" t="s">
        <v>65</v>
      </c>
      <c r="I2004" t="s">
        <v>195</v>
      </c>
      <c r="J2004" t="s">
        <v>196</v>
      </c>
      <c r="K2004" t="s">
        <v>614</v>
      </c>
      <c r="M2004" s="1">
        <v>37600</v>
      </c>
      <c r="N2004">
        <v>2002</v>
      </c>
    </row>
    <row r="2005" spans="1:14">
      <c r="A2005" t="s">
        <v>14</v>
      </c>
      <c r="B2005" t="str">
        <f>"120807199500"</f>
        <v>120807199500</v>
      </c>
      <c r="C2005" t="s">
        <v>719</v>
      </c>
      <c r="D2005" t="s">
        <v>720</v>
      </c>
      <c r="G2005" t="s">
        <v>32</v>
      </c>
      <c r="H2005" t="s">
        <v>59</v>
      </c>
      <c r="I2005" t="s">
        <v>195</v>
      </c>
      <c r="J2005" t="s">
        <v>196</v>
      </c>
      <c r="K2005" t="s">
        <v>239</v>
      </c>
      <c r="L2005" t="s">
        <v>48</v>
      </c>
      <c r="M2005" s="1">
        <v>34888</v>
      </c>
      <c r="N2005">
        <v>1995</v>
      </c>
    </row>
    <row r="2006" spans="1:14">
      <c r="A2006" t="s">
        <v>14</v>
      </c>
      <c r="B2006" t="str">
        <f>"112204198700"</f>
        <v>112204198700</v>
      </c>
      <c r="C2006" t="s">
        <v>802</v>
      </c>
      <c r="D2006" t="s">
        <v>58</v>
      </c>
      <c r="E2006" t="s">
        <v>803</v>
      </c>
      <c r="F2006" t="s">
        <v>804</v>
      </c>
      <c r="G2006" t="s">
        <v>32</v>
      </c>
      <c r="H2006" t="s">
        <v>59</v>
      </c>
      <c r="I2006" t="s">
        <v>195</v>
      </c>
      <c r="J2006" t="s">
        <v>196</v>
      </c>
      <c r="K2006" t="s">
        <v>805</v>
      </c>
      <c r="L2006" t="s">
        <v>29</v>
      </c>
      <c r="M2006" s="1">
        <v>31889</v>
      </c>
      <c r="N2006">
        <v>1987</v>
      </c>
    </row>
    <row r="2007" spans="1:14">
      <c r="A2007" t="s">
        <v>14</v>
      </c>
      <c r="B2007" t="str">
        <f>"122910199700"</f>
        <v>122910199700</v>
      </c>
      <c r="C2007" t="s">
        <v>1270</v>
      </c>
      <c r="D2007" t="s">
        <v>235</v>
      </c>
      <c r="G2007" t="s">
        <v>32</v>
      </c>
      <c r="H2007" t="s">
        <v>59</v>
      </c>
      <c r="I2007" t="s">
        <v>195</v>
      </c>
      <c r="J2007" t="s">
        <v>196</v>
      </c>
      <c r="K2007" t="s">
        <v>1271</v>
      </c>
      <c r="L2007" t="s">
        <v>48</v>
      </c>
      <c r="M2007" s="1">
        <v>35732</v>
      </c>
      <c r="N2007">
        <v>1997</v>
      </c>
    </row>
    <row r="2008" spans="1:14">
      <c r="A2008" t="s">
        <v>14</v>
      </c>
      <c r="B2008" t="str">
        <f>"121007199801"</f>
        <v>121007199801</v>
      </c>
      <c r="C2008" t="s">
        <v>1377</v>
      </c>
      <c r="D2008" t="s">
        <v>1378</v>
      </c>
      <c r="G2008" t="s">
        <v>32</v>
      </c>
      <c r="H2008" t="s">
        <v>59</v>
      </c>
      <c r="I2008" t="s">
        <v>195</v>
      </c>
      <c r="J2008" t="s">
        <v>196</v>
      </c>
      <c r="K2008" t="s">
        <v>647</v>
      </c>
      <c r="L2008" t="s">
        <v>48</v>
      </c>
      <c r="M2008" s="1">
        <v>35986</v>
      </c>
      <c r="N2008">
        <v>1998</v>
      </c>
    </row>
    <row r="2009" spans="1:14">
      <c r="A2009" t="s">
        <v>14</v>
      </c>
      <c r="B2009" t="str">
        <f>"120604199700"</f>
        <v>120604199700</v>
      </c>
      <c r="C2009" t="s">
        <v>1387</v>
      </c>
      <c r="D2009" t="s">
        <v>310</v>
      </c>
      <c r="G2009" t="s">
        <v>32</v>
      </c>
      <c r="H2009" t="s">
        <v>59</v>
      </c>
      <c r="I2009" t="s">
        <v>195</v>
      </c>
      <c r="J2009" t="s">
        <v>196</v>
      </c>
      <c r="K2009" t="s">
        <v>647</v>
      </c>
      <c r="L2009" t="s">
        <v>48</v>
      </c>
      <c r="M2009" s="1">
        <v>35526</v>
      </c>
      <c r="N2009">
        <v>1997</v>
      </c>
    </row>
    <row r="2010" spans="1:14">
      <c r="A2010" t="s">
        <v>14</v>
      </c>
      <c r="B2010" t="str">
        <f>"122201199400"</f>
        <v>122201199400</v>
      </c>
      <c r="C2010" t="s">
        <v>1839</v>
      </c>
      <c r="D2010" t="s">
        <v>551</v>
      </c>
      <c r="G2010" t="s">
        <v>32</v>
      </c>
      <c r="H2010" t="s">
        <v>59</v>
      </c>
      <c r="I2010" t="s">
        <v>195</v>
      </c>
      <c r="J2010" t="s">
        <v>196</v>
      </c>
      <c r="K2010" t="s">
        <v>1840</v>
      </c>
      <c r="L2010" t="s">
        <v>29</v>
      </c>
      <c r="M2010" s="1">
        <v>34356</v>
      </c>
      <c r="N2010">
        <v>1994</v>
      </c>
    </row>
    <row r="2011" spans="1:14">
      <c r="A2011" t="s">
        <v>14</v>
      </c>
      <c r="B2011" t="str">
        <f>"121011199800"</f>
        <v>121011199800</v>
      </c>
      <c r="C2011" t="s">
        <v>2116</v>
      </c>
      <c r="D2011" t="s">
        <v>1304</v>
      </c>
      <c r="G2011" t="s">
        <v>32</v>
      </c>
      <c r="H2011" t="s">
        <v>59</v>
      </c>
      <c r="I2011" t="s">
        <v>195</v>
      </c>
      <c r="J2011" t="s">
        <v>196</v>
      </c>
      <c r="K2011" t="s">
        <v>1854</v>
      </c>
      <c r="L2011" t="s">
        <v>22</v>
      </c>
      <c r="M2011" s="1">
        <v>36109</v>
      </c>
      <c r="N2011">
        <v>1998</v>
      </c>
    </row>
    <row r="2012" spans="1:14">
      <c r="A2012" t="s">
        <v>14</v>
      </c>
      <c r="B2012" t="str">
        <f>"122407199901"</f>
        <v>122407199901</v>
      </c>
      <c r="C2012" t="s">
        <v>193</v>
      </c>
      <c r="D2012" t="s">
        <v>194</v>
      </c>
      <c r="G2012" t="s">
        <v>32</v>
      </c>
      <c r="H2012" t="s">
        <v>44</v>
      </c>
      <c r="I2012" t="s">
        <v>195</v>
      </c>
      <c r="J2012" t="s">
        <v>196</v>
      </c>
      <c r="K2012" t="s">
        <v>197</v>
      </c>
      <c r="M2012" s="1">
        <v>36365</v>
      </c>
      <c r="N2012">
        <v>1999</v>
      </c>
    </row>
    <row r="2013" spans="1:14">
      <c r="A2013" t="s">
        <v>14</v>
      </c>
      <c r="B2013" t="str">
        <f>"121904200000"</f>
        <v>121904200000</v>
      </c>
      <c r="C2013" t="s">
        <v>1181</v>
      </c>
      <c r="D2013" t="s">
        <v>127</v>
      </c>
      <c r="G2013" t="s">
        <v>32</v>
      </c>
      <c r="H2013" t="s">
        <v>44</v>
      </c>
      <c r="I2013" t="s">
        <v>195</v>
      </c>
      <c r="J2013" t="s">
        <v>196</v>
      </c>
      <c r="K2013" t="s">
        <v>1182</v>
      </c>
      <c r="L2013" t="s">
        <v>22</v>
      </c>
      <c r="M2013" s="1">
        <v>36635</v>
      </c>
      <c r="N2013">
        <v>2000</v>
      </c>
    </row>
    <row r="2014" spans="1:14">
      <c r="A2014" t="s">
        <v>14</v>
      </c>
      <c r="B2014" t="str">
        <f>"121908200000"</f>
        <v>121908200000</v>
      </c>
      <c r="C2014" t="s">
        <v>1476</v>
      </c>
      <c r="D2014" t="s">
        <v>235</v>
      </c>
      <c r="G2014" t="s">
        <v>32</v>
      </c>
      <c r="H2014" t="s">
        <v>44</v>
      </c>
      <c r="I2014" t="s">
        <v>195</v>
      </c>
      <c r="J2014" t="s">
        <v>196</v>
      </c>
      <c r="K2014" t="s">
        <v>1477</v>
      </c>
      <c r="L2014" t="s">
        <v>22</v>
      </c>
      <c r="M2014" s="1">
        <v>36757</v>
      </c>
      <c r="N2014">
        <v>2000</v>
      </c>
    </row>
    <row r="2015" spans="1:14">
      <c r="A2015" t="s">
        <v>14</v>
      </c>
      <c r="B2015" t="str">
        <f>"122010200002"</f>
        <v>122010200002</v>
      </c>
      <c r="C2015" t="s">
        <v>1985</v>
      </c>
      <c r="D2015" t="s">
        <v>587</v>
      </c>
      <c r="G2015" t="s">
        <v>32</v>
      </c>
      <c r="H2015" t="s">
        <v>44</v>
      </c>
      <c r="I2015" t="s">
        <v>195</v>
      </c>
      <c r="J2015" t="s">
        <v>196</v>
      </c>
      <c r="K2015" t="s">
        <v>239</v>
      </c>
      <c r="L2015" t="s">
        <v>22</v>
      </c>
      <c r="M2015" s="1">
        <v>36819</v>
      </c>
      <c r="N2015">
        <v>2000</v>
      </c>
    </row>
    <row r="2016" spans="1:14">
      <c r="A2016" t="s">
        <v>14</v>
      </c>
      <c r="B2016" t="str">
        <f>"120305200000"</f>
        <v>120305200000</v>
      </c>
      <c r="C2016" t="s">
        <v>2213</v>
      </c>
      <c r="D2016" t="s">
        <v>194</v>
      </c>
      <c r="G2016" t="s">
        <v>32</v>
      </c>
      <c r="H2016" t="s">
        <v>44</v>
      </c>
      <c r="I2016" t="s">
        <v>195</v>
      </c>
      <c r="J2016" t="s">
        <v>196</v>
      </c>
      <c r="K2016" t="s">
        <v>2214</v>
      </c>
      <c r="L2016" t="s">
        <v>48</v>
      </c>
      <c r="M2016" s="1">
        <v>36649</v>
      </c>
      <c r="N2016">
        <v>2000</v>
      </c>
    </row>
    <row r="2017" spans="1:14">
      <c r="A2017" t="s">
        <v>14</v>
      </c>
      <c r="B2017" t="str">
        <f>"121102200000"</f>
        <v>121102200000</v>
      </c>
      <c r="C2017" t="s">
        <v>2287</v>
      </c>
      <c r="D2017" t="s">
        <v>127</v>
      </c>
      <c r="G2017" t="s">
        <v>32</v>
      </c>
      <c r="H2017" t="s">
        <v>44</v>
      </c>
      <c r="I2017" t="s">
        <v>195</v>
      </c>
      <c r="J2017" t="s">
        <v>196</v>
      </c>
      <c r="K2017" t="s">
        <v>197</v>
      </c>
      <c r="L2017" t="s">
        <v>22</v>
      </c>
      <c r="M2017" s="1">
        <v>36567</v>
      </c>
      <c r="N2017">
        <v>2000</v>
      </c>
    </row>
    <row r="2018" spans="1:14">
      <c r="A2018" t="s">
        <v>14</v>
      </c>
      <c r="B2018" t="str">
        <f>"120406200000"</f>
        <v>120406200000</v>
      </c>
      <c r="C2018" t="s">
        <v>2484</v>
      </c>
      <c r="D2018" t="s">
        <v>611</v>
      </c>
      <c r="G2018" t="s">
        <v>32</v>
      </c>
      <c r="H2018" t="s">
        <v>44</v>
      </c>
      <c r="I2018" t="s">
        <v>195</v>
      </c>
      <c r="J2018" t="s">
        <v>196</v>
      </c>
      <c r="K2018" t="s">
        <v>2306</v>
      </c>
      <c r="M2018" s="1">
        <v>36681</v>
      </c>
      <c r="N2018">
        <v>2000</v>
      </c>
    </row>
    <row r="2019" spans="1:14">
      <c r="A2019" t="s">
        <v>14</v>
      </c>
      <c r="B2019" t="str">
        <f>"122105200001"</f>
        <v>122105200001</v>
      </c>
      <c r="C2019" t="s">
        <v>2587</v>
      </c>
      <c r="D2019" t="s">
        <v>184</v>
      </c>
      <c r="G2019" t="s">
        <v>32</v>
      </c>
      <c r="H2019" t="s">
        <v>44</v>
      </c>
      <c r="I2019" t="s">
        <v>195</v>
      </c>
      <c r="J2019" t="s">
        <v>196</v>
      </c>
      <c r="K2019" t="s">
        <v>2588</v>
      </c>
      <c r="L2019" t="s">
        <v>22</v>
      </c>
      <c r="M2019" s="1">
        <v>36667</v>
      </c>
      <c r="N2019">
        <v>2000</v>
      </c>
    </row>
    <row r="2020" spans="1:14">
      <c r="A2020" t="s">
        <v>14</v>
      </c>
      <c r="B2020" t="str">
        <f>"122808200000"</f>
        <v>122808200000</v>
      </c>
      <c r="C2020" t="s">
        <v>2616</v>
      </c>
      <c r="D2020" t="s">
        <v>184</v>
      </c>
      <c r="G2020" t="s">
        <v>32</v>
      </c>
      <c r="H2020" t="s">
        <v>44</v>
      </c>
      <c r="I2020" t="s">
        <v>195</v>
      </c>
      <c r="J2020" t="s">
        <v>196</v>
      </c>
      <c r="K2020" t="s">
        <v>2588</v>
      </c>
      <c r="L2020" t="s">
        <v>22</v>
      </c>
      <c r="M2020" s="1">
        <v>36766</v>
      </c>
      <c r="N2020">
        <v>2000</v>
      </c>
    </row>
    <row r="2021" spans="1:14">
      <c r="A2021" t="s">
        <v>14</v>
      </c>
      <c r="B2021" t="str">
        <f>"121106199900"</f>
        <v>121106199900</v>
      </c>
      <c r="C2021" t="s">
        <v>2837</v>
      </c>
      <c r="D2021" t="s">
        <v>127</v>
      </c>
      <c r="G2021" t="s">
        <v>32</v>
      </c>
      <c r="H2021" t="s">
        <v>44</v>
      </c>
      <c r="I2021" t="s">
        <v>195</v>
      </c>
      <c r="J2021" t="s">
        <v>196</v>
      </c>
      <c r="K2021" t="s">
        <v>1271</v>
      </c>
      <c r="L2021" t="s">
        <v>48</v>
      </c>
      <c r="M2021" s="1">
        <v>36322</v>
      </c>
      <c r="N2021">
        <v>1999</v>
      </c>
    </row>
    <row r="2022" spans="1:14">
      <c r="A2022" t="s">
        <v>14</v>
      </c>
      <c r="B2022" t="str">
        <f>"112201199800"</f>
        <v>112201199800</v>
      </c>
      <c r="C2022" t="s">
        <v>359</v>
      </c>
      <c r="D2022" t="s">
        <v>259</v>
      </c>
      <c r="G2022" t="s">
        <v>17</v>
      </c>
      <c r="H2022" t="s">
        <v>25</v>
      </c>
      <c r="I2022" t="s">
        <v>195</v>
      </c>
      <c r="J2022" t="s">
        <v>196</v>
      </c>
      <c r="K2022" t="s">
        <v>239</v>
      </c>
      <c r="L2022" t="s">
        <v>48</v>
      </c>
      <c r="M2022" s="1">
        <v>35817</v>
      </c>
      <c r="N2022">
        <v>1998</v>
      </c>
    </row>
    <row r="2023" spans="1:14">
      <c r="A2023" t="s">
        <v>14</v>
      </c>
      <c r="B2023" t="str">
        <f>"113010199800"</f>
        <v>113010199800</v>
      </c>
      <c r="C2023" t="s">
        <v>2739</v>
      </c>
      <c r="D2023" t="s">
        <v>209</v>
      </c>
      <c r="G2023" t="s">
        <v>17</v>
      </c>
      <c r="H2023" t="s">
        <v>25</v>
      </c>
      <c r="I2023" t="s">
        <v>195</v>
      </c>
      <c r="J2023" t="s">
        <v>196</v>
      </c>
      <c r="K2023" t="s">
        <v>2306</v>
      </c>
      <c r="L2023" t="s">
        <v>22</v>
      </c>
      <c r="M2023" s="1">
        <v>36098</v>
      </c>
      <c r="N2023">
        <v>1998</v>
      </c>
    </row>
    <row r="2024" spans="1:14">
      <c r="A2024" t="s">
        <v>14</v>
      </c>
      <c r="B2024" t="str">
        <f>"112110199500"</f>
        <v>112110199500</v>
      </c>
      <c r="C2024" t="s">
        <v>2837</v>
      </c>
      <c r="D2024" t="s">
        <v>115</v>
      </c>
      <c r="G2024" t="s">
        <v>17</v>
      </c>
      <c r="H2024" t="s">
        <v>25</v>
      </c>
      <c r="I2024" t="s">
        <v>195</v>
      </c>
      <c r="J2024" t="s">
        <v>196</v>
      </c>
      <c r="K2024" t="s">
        <v>647</v>
      </c>
      <c r="L2024" t="s">
        <v>48</v>
      </c>
      <c r="M2024" s="1">
        <v>34993</v>
      </c>
      <c r="N2024">
        <v>1995</v>
      </c>
    </row>
    <row r="2025" spans="1:14">
      <c r="A2025" t="s">
        <v>14</v>
      </c>
      <c r="B2025" t="str">
        <f>"110310200100"</f>
        <v>110310200100</v>
      </c>
      <c r="C2025" t="s">
        <v>1630</v>
      </c>
      <c r="D2025" t="s">
        <v>344</v>
      </c>
      <c r="G2025" t="s">
        <v>17</v>
      </c>
      <c r="H2025" t="s">
        <v>18</v>
      </c>
      <c r="I2025" t="s">
        <v>195</v>
      </c>
      <c r="J2025" t="s">
        <v>196</v>
      </c>
      <c r="K2025" t="s">
        <v>439</v>
      </c>
      <c r="M2025" s="1">
        <v>37167</v>
      </c>
      <c r="N2025">
        <v>2001</v>
      </c>
    </row>
    <row r="2026" spans="1:14">
      <c r="A2026" t="s">
        <v>14</v>
      </c>
      <c r="B2026" t="str">
        <f>"111010200100"</f>
        <v>111010200100</v>
      </c>
      <c r="C2026" t="s">
        <v>1927</v>
      </c>
      <c r="D2026" t="s">
        <v>24</v>
      </c>
      <c r="G2026" t="s">
        <v>17</v>
      </c>
      <c r="H2026" t="s">
        <v>18</v>
      </c>
      <c r="I2026" t="s">
        <v>195</v>
      </c>
      <c r="J2026" t="s">
        <v>196</v>
      </c>
      <c r="K2026" t="s">
        <v>1928</v>
      </c>
      <c r="L2026" t="s">
        <v>63</v>
      </c>
      <c r="M2026" s="1">
        <v>37174</v>
      </c>
      <c r="N2026">
        <v>2001</v>
      </c>
    </row>
    <row r="2027" spans="1:14">
      <c r="A2027" t="s">
        <v>14</v>
      </c>
      <c r="B2027" t="str">
        <f>"111212199900"</f>
        <v>111212199900</v>
      </c>
      <c r="C2027" t="s">
        <v>2086</v>
      </c>
      <c r="D2027" t="s">
        <v>534</v>
      </c>
      <c r="G2027" t="s">
        <v>17</v>
      </c>
      <c r="H2027" t="s">
        <v>18</v>
      </c>
      <c r="I2027" t="s">
        <v>195</v>
      </c>
      <c r="J2027" t="s">
        <v>196</v>
      </c>
      <c r="K2027" t="s">
        <v>1854</v>
      </c>
      <c r="M2027" s="1">
        <v>36506</v>
      </c>
      <c r="N2027">
        <v>1999</v>
      </c>
    </row>
    <row r="2028" spans="1:14">
      <c r="A2028" t="s">
        <v>14</v>
      </c>
      <c r="B2028" t="str">
        <f>"112804200102"</f>
        <v>112804200102</v>
      </c>
      <c r="C2028" t="s">
        <v>2406</v>
      </c>
      <c r="D2028" t="s">
        <v>98</v>
      </c>
      <c r="G2028" t="s">
        <v>17</v>
      </c>
      <c r="H2028" t="s">
        <v>18</v>
      </c>
      <c r="I2028" t="s">
        <v>195</v>
      </c>
      <c r="J2028" t="s">
        <v>196</v>
      </c>
      <c r="K2028" t="s">
        <v>516</v>
      </c>
      <c r="L2028" t="s">
        <v>22</v>
      </c>
      <c r="M2028" s="1">
        <v>37009</v>
      </c>
      <c r="N2028">
        <v>2001</v>
      </c>
    </row>
    <row r="2029" spans="1:14">
      <c r="A2029" t="s">
        <v>14</v>
      </c>
      <c r="B2029" t="str">
        <f>"112903200101"</f>
        <v>112903200101</v>
      </c>
      <c r="C2029" t="s">
        <v>2547</v>
      </c>
      <c r="D2029" t="s">
        <v>221</v>
      </c>
      <c r="G2029" t="s">
        <v>17</v>
      </c>
      <c r="H2029" t="s">
        <v>18</v>
      </c>
      <c r="I2029" t="s">
        <v>195</v>
      </c>
      <c r="J2029" t="s">
        <v>196</v>
      </c>
      <c r="K2029" t="s">
        <v>1854</v>
      </c>
      <c r="M2029" s="1">
        <v>36979</v>
      </c>
      <c r="N2029">
        <v>2001</v>
      </c>
    </row>
    <row r="2030" spans="1:14">
      <c r="A2030" t="s">
        <v>14</v>
      </c>
      <c r="B2030" t="str">
        <f>"111306200100"</f>
        <v>111306200100</v>
      </c>
      <c r="C2030" t="s">
        <v>2772</v>
      </c>
      <c r="D2030" t="s">
        <v>344</v>
      </c>
      <c r="G2030" t="s">
        <v>17</v>
      </c>
      <c r="H2030" t="s">
        <v>18</v>
      </c>
      <c r="I2030" t="s">
        <v>195</v>
      </c>
      <c r="J2030" t="s">
        <v>196</v>
      </c>
      <c r="K2030" t="s">
        <v>197</v>
      </c>
      <c r="L2030" t="s">
        <v>22</v>
      </c>
      <c r="M2030" s="1">
        <v>37055</v>
      </c>
      <c r="N2030">
        <v>2001</v>
      </c>
    </row>
    <row r="2031" spans="1:14">
      <c r="A2031" t="s">
        <v>14</v>
      </c>
      <c r="B2031" t="str">
        <f>"110909199900"</f>
        <v>110909199900</v>
      </c>
      <c r="C2031" t="s">
        <v>2865</v>
      </c>
      <c r="D2031" t="s">
        <v>209</v>
      </c>
      <c r="G2031" t="s">
        <v>17</v>
      </c>
      <c r="H2031" t="s">
        <v>18</v>
      </c>
      <c r="I2031" t="s">
        <v>195</v>
      </c>
      <c r="J2031" t="s">
        <v>196</v>
      </c>
      <c r="K2031" t="s">
        <v>1854</v>
      </c>
      <c r="M2031" s="1">
        <v>36412</v>
      </c>
      <c r="N2031">
        <v>1999</v>
      </c>
    </row>
    <row r="2032" spans="1:14">
      <c r="A2032" t="s">
        <v>14</v>
      </c>
      <c r="B2032" t="str">
        <f>"111907200401"</f>
        <v>111907200401</v>
      </c>
      <c r="C2032" t="s">
        <v>273</v>
      </c>
      <c r="D2032" t="s">
        <v>129</v>
      </c>
      <c r="G2032" t="s">
        <v>17</v>
      </c>
      <c r="H2032" t="s">
        <v>39</v>
      </c>
      <c r="I2032" t="s">
        <v>195</v>
      </c>
      <c r="J2032" t="s">
        <v>196</v>
      </c>
      <c r="K2032" t="s">
        <v>274</v>
      </c>
      <c r="L2032" t="s">
        <v>22</v>
      </c>
      <c r="M2032" s="1">
        <v>38187</v>
      </c>
      <c r="N2032">
        <v>2004</v>
      </c>
    </row>
    <row r="2033" spans="1:14">
      <c r="A2033" t="s">
        <v>14</v>
      </c>
      <c r="B2033" t="str">
        <f>"112805200402"</f>
        <v>112805200402</v>
      </c>
      <c r="C2033" t="s">
        <v>612</v>
      </c>
      <c r="D2033" t="s">
        <v>95</v>
      </c>
      <c r="G2033" t="s">
        <v>17</v>
      </c>
      <c r="H2033" t="s">
        <v>39</v>
      </c>
      <c r="I2033" t="s">
        <v>195</v>
      </c>
      <c r="J2033" t="s">
        <v>196</v>
      </c>
      <c r="K2033" t="s">
        <v>614</v>
      </c>
      <c r="L2033" t="s">
        <v>22</v>
      </c>
      <c r="M2033" s="1">
        <v>38135</v>
      </c>
      <c r="N2033">
        <v>2004</v>
      </c>
    </row>
    <row r="2034" spans="1:14">
      <c r="A2034" t="s">
        <v>14</v>
      </c>
      <c r="B2034" t="str">
        <f>"110403200402"</f>
        <v>110403200402</v>
      </c>
      <c r="C2034" t="s">
        <v>844</v>
      </c>
      <c r="D2034" t="s">
        <v>221</v>
      </c>
      <c r="G2034" t="s">
        <v>17</v>
      </c>
      <c r="H2034" t="s">
        <v>39</v>
      </c>
      <c r="I2034" t="s">
        <v>195</v>
      </c>
      <c r="J2034" t="s">
        <v>196</v>
      </c>
      <c r="K2034" t="s">
        <v>274</v>
      </c>
      <c r="L2034" t="s">
        <v>22</v>
      </c>
      <c r="M2034" s="1">
        <v>38050</v>
      </c>
      <c r="N2034">
        <v>2004</v>
      </c>
    </row>
    <row r="2035" spans="1:14">
      <c r="A2035" t="s">
        <v>14</v>
      </c>
      <c r="B2035" t="str">
        <f>"111803200402"</f>
        <v>111803200402</v>
      </c>
      <c r="C2035" t="s">
        <v>868</v>
      </c>
      <c r="D2035" t="s">
        <v>16</v>
      </c>
      <c r="G2035" t="s">
        <v>17</v>
      </c>
      <c r="H2035" t="s">
        <v>39</v>
      </c>
      <c r="I2035" t="s">
        <v>195</v>
      </c>
      <c r="J2035" t="s">
        <v>196</v>
      </c>
      <c r="K2035" t="s">
        <v>614</v>
      </c>
      <c r="L2035" t="s">
        <v>22</v>
      </c>
      <c r="M2035" s="1">
        <v>38064</v>
      </c>
      <c r="N2035">
        <v>2004</v>
      </c>
    </row>
    <row r="2036" spans="1:14">
      <c r="A2036" t="s">
        <v>14</v>
      </c>
      <c r="B2036" t="str">
        <f>"110803200400"</f>
        <v>110803200400</v>
      </c>
      <c r="C2036" t="s">
        <v>1064</v>
      </c>
      <c r="D2036" t="s">
        <v>382</v>
      </c>
      <c r="G2036" t="s">
        <v>17</v>
      </c>
      <c r="H2036" t="s">
        <v>39</v>
      </c>
      <c r="I2036" t="s">
        <v>195</v>
      </c>
      <c r="J2036" t="s">
        <v>196</v>
      </c>
      <c r="K2036" t="s">
        <v>614</v>
      </c>
      <c r="L2036" t="s">
        <v>22</v>
      </c>
      <c r="M2036" s="1">
        <v>38054</v>
      </c>
      <c r="N2036">
        <v>2004</v>
      </c>
    </row>
    <row r="2037" spans="1:14">
      <c r="A2037" t="s">
        <v>14</v>
      </c>
      <c r="B2037" t="str">
        <f>"112002200400"</f>
        <v>112002200400</v>
      </c>
      <c r="C2037" t="s">
        <v>1451</v>
      </c>
      <c r="D2037" t="s">
        <v>1452</v>
      </c>
      <c r="G2037" t="s">
        <v>17</v>
      </c>
      <c r="H2037" t="s">
        <v>39</v>
      </c>
      <c r="I2037" t="s">
        <v>195</v>
      </c>
      <c r="J2037" t="s">
        <v>196</v>
      </c>
      <c r="K2037" t="s">
        <v>1453</v>
      </c>
      <c r="L2037" t="s">
        <v>22</v>
      </c>
      <c r="M2037" s="1">
        <v>38037</v>
      </c>
      <c r="N2037">
        <v>2004</v>
      </c>
    </row>
    <row r="2038" spans="1:14">
      <c r="A2038" t="s">
        <v>14</v>
      </c>
      <c r="B2038" t="str">
        <f>"111704200400"</f>
        <v>111704200400</v>
      </c>
      <c r="C2038" t="s">
        <v>1499</v>
      </c>
      <c r="D2038" t="s">
        <v>53</v>
      </c>
      <c r="G2038" t="s">
        <v>17</v>
      </c>
      <c r="H2038" t="s">
        <v>39</v>
      </c>
      <c r="I2038" t="s">
        <v>195</v>
      </c>
      <c r="J2038" t="s">
        <v>196</v>
      </c>
      <c r="K2038" t="s">
        <v>614</v>
      </c>
      <c r="L2038" t="s">
        <v>22</v>
      </c>
      <c r="M2038" s="1">
        <v>38094</v>
      </c>
      <c r="N2038">
        <v>2004</v>
      </c>
    </row>
    <row r="2039" spans="1:14">
      <c r="A2039" t="s">
        <v>14</v>
      </c>
      <c r="B2039" t="str">
        <f>"111406200400"</f>
        <v>111406200400</v>
      </c>
      <c r="C2039" t="s">
        <v>1838</v>
      </c>
      <c r="D2039" t="s">
        <v>534</v>
      </c>
      <c r="G2039" t="s">
        <v>17</v>
      </c>
      <c r="H2039" t="s">
        <v>39</v>
      </c>
      <c r="I2039" t="s">
        <v>195</v>
      </c>
      <c r="J2039" t="s">
        <v>196</v>
      </c>
      <c r="K2039" t="s">
        <v>614</v>
      </c>
      <c r="M2039" s="1">
        <v>38152</v>
      </c>
      <c r="N2039">
        <v>2004</v>
      </c>
    </row>
    <row r="2040" spans="1:14">
      <c r="A2040" t="s">
        <v>14</v>
      </c>
      <c r="B2040" t="str">
        <f>"110808200403"</f>
        <v>110808200403</v>
      </c>
      <c r="C2040" t="s">
        <v>2461</v>
      </c>
      <c r="D2040" t="s">
        <v>70</v>
      </c>
      <c r="G2040" t="s">
        <v>17</v>
      </c>
      <c r="H2040" t="s">
        <v>39</v>
      </c>
      <c r="I2040" t="s">
        <v>195</v>
      </c>
      <c r="J2040" t="s">
        <v>196</v>
      </c>
      <c r="K2040" t="s">
        <v>239</v>
      </c>
      <c r="L2040" t="s">
        <v>22</v>
      </c>
      <c r="M2040" s="1">
        <v>38207</v>
      </c>
      <c r="N2040">
        <v>2004</v>
      </c>
    </row>
    <row r="2041" spans="1:14">
      <c r="A2041" t="s">
        <v>14</v>
      </c>
      <c r="B2041" t="str">
        <f>"111609200200"</f>
        <v>111609200200</v>
      </c>
      <c r="C2041" t="s">
        <v>438</v>
      </c>
      <c r="D2041" t="s">
        <v>373</v>
      </c>
      <c r="G2041" t="s">
        <v>17</v>
      </c>
      <c r="H2041" t="s">
        <v>51</v>
      </c>
      <c r="I2041" t="s">
        <v>195</v>
      </c>
      <c r="J2041" t="s">
        <v>196</v>
      </c>
      <c r="K2041" t="s">
        <v>439</v>
      </c>
      <c r="L2041" t="s">
        <v>22</v>
      </c>
      <c r="M2041" s="1">
        <v>37515</v>
      </c>
      <c r="N2041">
        <v>2002</v>
      </c>
    </row>
    <row r="2042" spans="1:14">
      <c r="A2042" t="s">
        <v>14</v>
      </c>
      <c r="B2042" t="str">
        <f>"112306200200"</f>
        <v>112306200200</v>
      </c>
      <c r="C2042" t="s">
        <v>512</v>
      </c>
      <c r="D2042" t="s">
        <v>292</v>
      </c>
      <c r="G2042" t="s">
        <v>17</v>
      </c>
      <c r="H2042" t="s">
        <v>51</v>
      </c>
      <c r="I2042" t="s">
        <v>195</v>
      </c>
      <c r="J2042" t="s">
        <v>196</v>
      </c>
      <c r="K2042" t="s">
        <v>516</v>
      </c>
      <c r="L2042" t="s">
        <v>22</v>
      </c>
      <c r="M2042" s="1">
        <v>37430</v>
      </c>
      <c r="N2042">
        <v>2002</v>
      </c>
    </row>
    <row r="2043" spans="1:14">
      <c r="A2043" t="s">
        <v>14</v>
      </c>
      <c r="B2043" t="str">
        <f>"112012200201"</f>
        <v>112012200201</v>
      </c>
      <c r="C2043" t="s">
        <v>568</v>
      </c>
      <c r="D2043" t="s">
        <v>259</v>
      </c>
      <c r="G2043" t="s">
        <v>17</v>
      </c>
      <c r="H2043" t="s">
        <v>51</v>
      </c>
      <c r="I2043" t="s">
        <v>195</v>
      </c>
      <c r="J2043" t="s">
        <v>196</v>
      </c>
      <c r="K2043" t="s">
        <v>569</v>
      </c>
      <c r="M2043" s="1">
        <v>37610</v>
      </c>
      <c r="N2043">
        <v>2002</v>
      </c>
    </row>
    <row r="2044" spans="1:14">
      <c r="A2044" t="s">
        <v>14</v>
      </c>
      <c r="B2044" t="str">
        <f>"110307200203"</f>
        <v>110307200203</v>
      </c>
      <c r="C2044" t="s">
        <v>638</v>
      </c>
      <c r="D2044" t="s">
        <v>221</v>
      </c>
      <c r="G2044" t="s">
        <v>17</v>
      </c>
      <c r="H2044" t="s">
        <v>51</v>
      </c>
      <c r="I2044" t="s">
        <v>195</v>
      </c>
      <c r="J2044" t="s">
        <v>196</v>
      </c>
      <c r="K2044" t="s">
        <v>439</v>
      </c>
      <c r="L2044" t="s">
        <v>22</v>
      </c>
      <c r="M2044" s="1">
        <v>37440</v>
      </c>
      <c r="N2044">
        <v>2002</v>
      </c>
    </row>
    <row r="2045" spans="1:14">
      <c r="A2045" t="s">
        <v>14</v>
      </c>
      <c r="B2045" t="str">
        <f>"110605200200"</f>
        <v>110605200200</v>
      </c>
      <c r="C2045" t="s">
        <v>652</v>
      </c>
      <c r="D2045" t="s">
        <v>653</v>
      </c>
      <c r="G2045" t="s">
        <v>17</v>
      </c>
      <c r="H2045" t="s">
        <v>51</v>
      </c>
      <c r="I2045" t="s">
        <v>195</v>
      </c>
      <c r="J2045" t="s">
        <v>196</v>
      </c>
      <c r="K2045" t="s">
        <v>516</v>
      </c>
      <c r="L2045" t="s">
        <v>22</v>
      </c>
      <c r="M2045" s="1">
        <v>37382</v>
      </c>
      <c r="N2045">
        <v>2002</v>
      </c>
    </row>
    <row r="2046" spans="1:14">
      <c r="A2046" t="s">
        <v>14</v>
      </c>
      <c r="B2046" t="str">
        <f>"110608200200"</f>
        <v>110608200200</v>
      </c>
      <c r="C2046" t="s">
        <v>1052</v>
      </c>
      <c r="D2046" t="s">
        <v>100</v>
      </c>
      <c r="G2046" t="s">
        <v>17</v>
      </c>
      <c r="H2046" t="s">
        <v>51</v>
      </c>
      <c r="I2046" t="s">
        <v>195</v>
      </c>
      <c r="J2046" t="s">
        <v>196</v>
      </c>
      <c r="K2046" t="s">
        <v>647</v>
      </c>
      <c r="L2046" t="s">
        <v>22</v>
      </c>
      <c r="M2046" s="1">
        <v>37474</v>
      </c>
      <c r="N2046">
        <v>2002</v>
      </c>
    </row>
    <row r="2047" spans="1:14">
      <c r="A2047" t="s">
        <v>14</v>
      </c>
      <c r="B2047" t="str">
        <f>"111709200300"</f>
        <v>111709200300</v>
      </c>
      <c r="C2047" t="s">
        <v>1095</v>
      </c>
      <c r="D2047" t="s">
        <v>392</v>
      </c>
      <c r="G2047" t="s">
        <v>17</v>
      </c>
      <c r="H2047" t="s">
        <v>51</v>
      </c>
      <c r="I2047" t="s">
        <v>195</v>
      </c>
      <c r="J2047" t="s">
        <v>196</v>
      </c>
      <c r="K2047" t="s">
        <v>239</v>
      </c>
      <c r="L2047" t="s">
        <v>22</v>
      </c>
      <c r="M2047" s="1">
        <v>37881</v>
      </c>
      <c r="N2047">
        <v>2003</v>
      </c>
    </row>
    <row r="2048" spans="1:14">
      <c r="A2048" t="s">
        <v>14</v>
      </c>
      <c r="B2048" t="str">
        <f>"110107200301"</f>
        <v>110107200301</v>
      </c>
      <c r="C2048" t="s">
        <v>1379</v>
      </c>
      <c r="D2048" t="s">
        <v>70</v>
      </c>
      <c r="G2048" t="s">
        <v>17</v>
      </c>
      <c r="H2048" t="s">
        <v>51</v>
      </c>
      <c r="I2048" t="s">
        <v>195</v>
      </c>
      <c r="J2048" t="s">
        <v>196</v>
      </c>
      <c r="K2048" t="s">
        <v>274</v>
      </c>
      <c r="L2048" t="s">
        <v>22</v>
      </c>
      <c r="M2048" s="1">
        <v>37803</v>
      </c>
      <c r="N2048">
        <v>2003</v>
      </c>
    </row>
    <row r="2049" spans="1:14">
      <c r="A2049" t="s">
        <v>14</v>
      </c>
      <c r="B2049" t="str">
        <f>"110603200301"</f>
        <v>110603200301</v>
      </c>
      <c r="C2049" t="s">
        <v>1392</v>
      </c>
      <c r="D2049" t="s">
        <v>115</v>
      </c>
      <c r="G2049" t="s">
        <v>17</v>
      </c>
      <c r="H2049" t="s">
        <v>51</v>
      </c>
      <c r="I2049" t="s">
        <v>195</v>
      </c>
      <c r="J2049" t="s">
        <v>196</v>
      </c>
      <c r="K2049" t="s">
        <v>239</v>
      </c>
      <c r="L2049" t="s">
        <v>22</v>
      </c>
      <c r="M2049" s="1">
        <v>37686</v>
      </c>
      <c r="N2049">
        <v>2003</v>
      </c>
    </row>
    <row r="2050" spans="1:14">
      <c r="A2050" t="s">
        <v>14</v>
      </c>
      <c r="B2050" t="str">
        <f>"112711200201"</f>
        <v>112711200201</v>
      </c>
      <c r="C2050" t="s">
        <v>1853</v>
      </c>
      <c r="D2050" t="s">
        <v>16</v>
      </c>
      <c r="G2050" t="s">
        <v>17</v>
      </c>
      <c r="H2050" t="s">
        <v>51</v>
      </c>
      <c r="I2050" t="s">
        <v>195</v>
      </c>
      <c r="J2050" t="s">
        <v>196</v>
      </c>
      <c r="K2050" t="s">
        <v>1854</v>
      </c>
      <c r="M2050" s="1">
        <v>37587</v>
      </c>
      <c r="N2050">
        <v>2002</v>
      </c>
    </row>
    <row r="2051" spans="1:14">
      <c r="A2051" t="s">
        <v>14</v>
      </c>
      <c r="B2051" t="str">
        <f>"111006200200"</f>
        <v>111006200200</v>
      </c>
      <c r="C2051" t="s">
        <v>1878</v>
      </c>
      <c r="D2051" t="s">
        <v>209</v>
      </c>
      <c r="G2051" t="s">
        <v>17</v>
      </c>
      <c r="H2051" t="s">
        <v>51</v>
      </c>
      <c r="I2051" t="s">
        <v>195</v>
      </c>
      <c r="J2051" t="s">
        <v>196</v>
      </c>
      <c r="K2051" t="s">
        <v>439</v>
      </c>
      <c r="L2051" t="s">
        <v>22</v>
      </c>
      <c r="M2051" s="1">
        <v>37417</v>
      </c>
      <c r="N2051">
        <v>2002</v>
      </c>
    </row>
    <row r="2052" spans="1:14">
      <c r="A2052" t="s">
        <v>14</v>
      </c>
      <c r="B2052" t="str">
        <f>"112705200300"</f>
        <v>112705200300</v>
      </c>
      <c r="C2052" t="s">
        <v>1889</v>
      </c>
      <c r="D2052" t="s">
        <v>95</v>
      </c>
      <c r="G2052" t="s">
        <v>17</v>
      </c>
      <c r="H2052" t="s">
        <v>51</v>
      </c>
      <c r="I2052" t="s">
        <v>195</v>
      </c>
      <c r="J2052" t="s">
        <v>196</v>
      </c>
      <c r="K2052" t="s">
        <v>647</v>
      </c>
      <c r="L2052" t="s">
        <v>22</v>
      </c>
      <c r="M2052" s="1">
        <v>37768</v>
      </c>
      <c r="N2052">
        <v>2003</v>
      </c>
    </row>
    <row r="2053" spans="1:14">
      <c r="A2053" t="s">
        <v>14</v>
      </c>
      <c r="B2053" t="str">
        <f>"110401200300"</f>
        <v>110401200300</v>
      </c>
      <c r="C2053" t="s">
        <v>1987</v>
      </c>
      <c r="D2053" t="s">
        <v>209</v>
      </c>
      <c r="G2053" t="s">
        <v>17</v>
      </c>
      <c r="H2053" t="s">
        <v>51</v>
      </c>
      <c r="I2053" t="s">
        <v>195</v>
      </c>
      <c r="J2053" t="s">
        <v>196</v>
      </c>
      <c r="K2053" t="s">
        <v>647</v>
      </c>
      <c r="L2053" t="s">
        <v>22</v>
      </c>
      <c r="M2053" s="1">
        <v>37625</v>
      </c>
      <c r="N2053">
        <v>2003</v>
      </c>
    </row>
    <row r="2054" spans="1:14">
      <c r="A2054" t="s">
        <v>14</v>
      </c>
      <c r="B2054" t="str">
        <f>"113001200300"</f>
        <v>113001200300</v>
      </c>
      <c r="C2054" t="s">
        <v>2049</v>
      </c>
      <c r="D2054" t="s">
        <v>373</v>
      </c>
      <c r="G2054" t="s">
        <v>17</v>
      </c>
      <c r="H2054" t="s">
        <v>51</v>
      </c>
      <c r="I2054" t="s">
        <v>195</v>
      </c>
      <c r="J2054" t="s">
        <v>196</v>
      </c>
      <c r="K2054" t="s">
        <v>239</v>
      </c>
      <c r="L2054" t="s">
        <v>63</v>
      </c>
      <c r="M2054" s="1">
        <v>37651</v>
      </c>
      <c r="N2054">
        <v>2003</v>
      </c>
    </row>
    <row r="2055" spans="1:14">
      <c r="A2055" t="s">
        <v>14</v>
      </c>
      <c r="B2055" t="str">
        <f>"111503200300"</f>
        <v>111503200300</v>
      </c>
      <c r="C2055" t="s">
        <v>2066</v>
      </c>
      <c r="D2055" t="s">
        <v>129</v>
      </c>
      <c r="G2055" t="s">
        <v>17</v>
      </c>
      <c r="H2055" t="s">
        <v>51</v>
      </c>
      <c r="I2055" t="s">
        <v>195</v>
      </c>
      <c r="J2055" t="s">
        <v>196</v>
      </c>
      <c r="K2055" t="s">
        <v>1477</v>
      </c>
      <c r="M2055" s="1">
        <v>37695</v>
      </c>
      <c r="N2055">
        <v>2003</v>
      </c>
    </row>
    <row r="2056" spans="1:14">
      <c r="A2056" t="s">
        <v>14</v>
      </c>
      <c r="B2056" t="str">
        <f>"111902200301"</f>
        <v>111902200301</v>
      </c>
      <c r="C2056" t="s">
        <v>2110</v>
      </c>
      <c r="D2056" t="s">
        <v>115</v>
      </c>
      <c r="G2056" t="s">
        <v>17</v>
      </c>
      <c r="H2056" t="s">
        <v>51</v>
      </c>
      <c r="I2056" t="s">
        <v>195</v>
      </c>
      <c r="J2056" t="s">
        <v>196</v>
      </c>
      <c r="K2056" t="s">
        <v>439</v>
      </c>
      <c r="L2056" t="s">
        <v>22</v>
      </c>
      <c r="M2056" s="1">
        <v>37671</v>
      </c>
      <c r="N2056">
        <v>2003</v>
      </c>
    </row>
    <row r="2057" spans="1:14">
      <c r="A2057" t="s">
        <v>14</v>
      </c>
      <c r="B2057" t="str">
        <f>"110606200302"</f>
        <v>110606200302</v>
      </c>
      <c r="C2057" t="s">
        <v>2282</v>
      </c>
      <c r="D2057" t="s">
        <v>50</v>
      </c>
      <c r="G2057" t="s">
        <v>17</v>
      </c>
      <c r="H2057" t="s">
        <v>51</v>
      </c>
      <c r="I2057" t="s">
        <v>195</v>
      </c>
      <c r="J2057" t="s">
        <v>196</v>
      </c>
      <c r="K2057" t="s">
        <v>439</v>
      </c>
      <c r="L2057" t="s">
        <v>22</v>
      </c>
      <c r="M2057" s="1">
        <v>37778</v>
      </c>
      <c r="N2057">
        <v>2003</v>
      </c>
    </row>
    <row r="2058" spans="1:14">
      <c r="A2058" t="s">
        <v>14</v>
      </c>
      <c r="B2058" t="str">
        <f>"110708200200"</f>
        <v>110708200200</v>
      </c>
      <c r="C2058" t="s">
        <v>2313</v>
      </c>
      <c r="D2058" t="s">
        <v>136</v>
      </c>
      <c r="G2058" t="s">
        <v>17</v>
      </c>
      <c r="H2058" t="s">
        <v>51</v>
      </c>
      <c r="I2058" t="s">
        <v>195</v>
      </c>
      <c r="J2058" t="s">
        <v>196</v>
      </c>
      <c r="K2058" t="s">
        <v>516</v>
      </c>
      <c r="L2058" t="s">
        <v>63</v>
      </c>
      <c r="M2058" s="1">
        <v>37475</v>
      </c>
      <c r="N2058">
        <v>2002</v>
      </c>
    </row>
    <row r="2059" spans="1:14">
      <c r="A2059" t="s">
        <v>14</v>
      </c>
      <c r="B2059" t="str">
        <f>"112705200200"</f>
        <v>112705200200</v>
      </c>
      <c r="C2059" t="s">
        <v>2438</v>
      </c>
      <c r="D2059" t="s">
        <v>373</v>
      </c>
      <c r="G2059" t="s">
        <v>17</v>
      </c>
      <c r="H2059" t="s">
        <v>51</v>
      </c>
      <c r="I2059" t="s">
        <v>195</v>
      </c>
      <c r="J2059" t="s">
        <v>196</v>
      </c>
      <c r="K2059" t="s">
        <v>239</v>
      </c>
      <c r="L2059" t="s">
        <v>63</v>
      </c>
      <c r="M2059" s="1">
        <v>37403</v>
      </c>
      <c r="N2059">
        <v>2002</v>
      </c>
    </row>
    <row r="2060" spans="1:14">
      <c r="A2060" t="s">
        <v>14</v>
      </c>
      <c r="B2060" t="str">
        <f>"112101200302"</f>
        <v>112101200302</v>
      </c>
      <c r="C2060" t="s">
        <v>2820</v>
      </c>
      <c r="D2060" t="s">
        <v>373</v>
      </c>
      <c r="G2060" t="s">
        <v>17</v>
      </c>
      <c r="H2060" t="s">
        <v>51</v>
      </c>
      <c r="I2060" t="s">
        <v>195</v>
      </c>
      <c r="J2060" t="s">
        <v>196</v>
      </c>
      <c r="K2060" t="s">
        <v>647</v>
      </c>
      <c r="L2060" t="s">
        <v>22</v>
      </c>
      <c r="M2060" s="1">
        <v>37642</v>
      </c>
      <c r="N2060">
        <v>2003</v>
      </c>
    </row>
    <row r="2061" spans="1:14">
      <c r="A2061" t="s">
        <v>14</v>
      </c>
      <c r="B2061" t="str">
        <f>"111911200200"</f>
        <v>111911200200</v>
      </c>
      <c r="C2061" t="s">
        <v>2902</v>
      </c>
      <c r="D2061" t="s">
        <v>155</v>
      </c>
      <c r="G2061" t="s">
        <v>17</v>
      </c>
      <c r="H2061" t="s">
        <v>51</v>
      </c>
      <c r="I2061" t="s">
        <v>195</v>
      </c>
      <c r="J2061" t="s">
        <v>196</v>
      </c>
      <c r="K2061" t="s">
        <v>274</v>
      </c>
      <c r="L2061" t="s">
        <v>22</v>
      </c>
      <c r="M2061" s="1">
        <v>37579</v>
      </c>
      <c r="N2061">
        <v>2002</v>
      </c>
    </row>
    <row r="2062" spans="1:14">
      <c r="A2062" t="s">
        <v>14</v>
      </c>
      <c r="B2062" t="str">
        <f>"121410198800"</f>
        <v>121410198800</v>
      </c>
      <c r="C2062" t="s">
        <v>2304</v>
      </c>
      <c r="D2062" t="s">
        <v>611</v>
      </c>
      <c r="G2062" t="s">
        <v>32</v>
      </c>
      <c r="H2062" t="s">
        <v>59</v>
      </c>
      <c r="I2062" t="s">
        <v>2305</v>
      </c>
      <c r="J2062" t="s">
        <v>196</v>
      </c>
      <c r="K2062" t="s">
        <v>2306</v>
      </c>
      <c r="L2062" t="s">
        <v>48</v>
      </c>
      <c r="M2062" s="1">
        <v>32430</v>
      </c>
      <c r="N2062">
        <v>1988</v>
      </c>
    </row>
    <row r="2063" spans="1:14">
      <c r="A2063" t="s">
        <v>14</v>
      </c>
      <c r="B2063" t="str">
        <f>"122307200200"</f>
        <v>122307200200</v>
      </c>
      <c r="C2063" t="s">
        <v>536</v>
      </c>
      <c r="D2063" t="s">
        <v>58</v>
      </c>
      <c r="G2063" t="s">
        <v>32</v>
      </c>
      <c r="H2063" t="s">
        <v>65</v>
      </c>
      <c r="I2063" t="s">
        <v>537</v>
      </c>
      <c r="J2063" t="s">
        <v>538</v>
      </c>
      <c r="K2063" t="s">
        <v>539</v>
      </c>
      <c r="L2063" t="s">
        <v>22</v>
      </c>
      <c r="M2063" s="1">
        <v>37460</v>
      </c>
      <c r="N2063">
        <v>2002</v>
      </c>
    </row>
    <row r="2064" spans="1:14">
      <c r="A2064" t="s">
        <v>14</v>
      </c>
      <c r="B2064" t="str">
        <f>"121608200201"</f>
        <v>121608200201</v>
      </c>
      <c r="C2064" t="s">
        <v>1053</v>
      </c>
      <c r="D2064" t="s">
        <v>380</v>
      </c>
      <c r="G2064" t="s">
        <v>32</v>
      </c>
      <c r="H2064" t="s">
        <v>65</v>
      </c>
      <c r="I2064" t="s">
        <v>537</v>
      </c>
      <c r="J2064" t="s">
        <v>538</v>
      </c>
      <c r="K2064" t="s">
        <v>539</v>
      </c>
      <c r="M2064" s="1">
        <v>37484</v>
      </c>
      <c r="N2064">
        <v>2002</v>
      </c>
    </row>
    <row r="2065" spans="1:14">
      <c r="A2065" t="s">
        <v>14</v>
      </c>
      <c r="B2065" t="str">
        <f>"122606200200"</f>
        <v>122606200200</v>
      </c>
      <c r="C2065" t="s">
        <v>1159</v>
      </c>
      <c r="D2065" t="s">
        <v>127</v>
      </c>
      <c r="G2065" t="s">
        <v>32</v>
      </c>
      <c r="H2065" t="s">
        <v>65</v>
      </c>
      <c r="I2065" t="s">
        <v>537</v>
      </c>
      <c r="J2065" t="s">
        <v>538</v>
      </c>
      <c r="K2065" t="s">
        <v>1160</v>
      </c>
      <c r="L2065" t="s">
        <v>63</v>
      </c>
      <c r="M2065" s="1">
        <v>37433</v>
      </c>
      <c r="N2065">
        <v>2002</v>
      </c>
    </row>
    <row r="2066" spans="1:14">
      <c r="A2066" t="s">
        <v>14</v>
      </c>
      <c r="B2066" t="str">
        <f>"120505200300"</f>
        <v>120505200300</v>
      </c>
      <c r="C2066" t="s">
        <v>1812</v>
      </c>
      <c r="D2066" t="s">
        <v>232</v>
      </c>
      <c r="G2066" t="s">
        <v>32</v>
      </c>
      <c r="H2066" t="s">
        <v>65</v>
      </c>
      <c r="I2066" t="s">
        <v>537</v>
      </c>
      <c r="J2066" t="s">
        <v>538</v>
      </c>
      <c r="K2066" t="s">
        <v>1160</v>
      </c>
      <c r="L2066" t="s">
        <v>63</v>
      </c>
      <c r="M2066" s="1">
        <v>37746</v>
      </c>
      <c r="N2066">
        <v>2003</v>
      </c>
    </row>
    <row r="2067" spans="1:14">
      <c r="A2067" t="s">
        <v>14</v>
      </c>
      <c r="B2067" t="str">
        <f>"122109200200"</f>
        <v>122109200200</v>
      </c>
      <c r="C2067" t="s">
        <v>2215</v>
      </c>
      <c r="D2067" t="s">
        <v>127</v>
      </c>
      <c r="G2067" t="s">
        <v>32</v>
      </c>
      <c r="H2067" t="s">
        <v>65</v>
      </c>
      <c r="I2067" t="s">
        <v>537</v>
      </c>
      <c r="J2067" t="s">
        <v>538</v>
      </c>
      <c r="K2067" t="s">
        <v>539</v>
      </c>
      <c r="L2067" t="s">
        <v>22</v>
      </c>
      <c r="M2067" s="1">
        <v>37520</v>
      </c>
      <c r="N2067">
        <v>2002</v>
      </c>
    </row>
    <row r="2068" spans="1:14">
      <c r="A2068" t="s">
        <v>14</v>
      </c>
      <c r="B2068" t="str">
        <f>"122302200100"</f>
        <v>122302200100</v>
      </c>
      <c r="C2068" t="s">
        <v>1208</v>
      </c>
      <c r="D2068" t="s">
        <v>1211</v>
      </c>
      <c r="G2068" t="s">
        <v>32</v>
      </c>
      <c r="H2068" t="s">
        <v>44</v>
      </c>
      <c r="I2068" t="s">
        <v>537</v>
      </c>
      <c r="J2068" t="s">
        <v>538</v>
      </c>
      <c r="K2068" t="s">
        <v>686</v>
      </c>
      <c r="L2068" t="s">
        <v>63</v>
      </c>
      <c r="M2068" s="1">
        <v>36945</v>
      </c>
      <c r="N2068">
        <v>2001</v>
      </c>
    </row>
    <row r="2069" spans="1:14">
      <c r="A2069" t="s">
        <v>14</v>
      </c>
      <c r="B2069" t="str">
        <f>"110609199800"</f>
        <v>110609199800</v>
      </c>
      <c r="C2069" t="s">
        <v>684</v>
      </c>
      <c r="D2069" t="s">
        <v>89</v>
      </c>
      <c r="G2069" t="s">
        <v>17</v>
      </c>
      <c r="H2069" t="s">
        <v>25</v>
      </c>
      <c r="I2069" t="s">
        <v>537</v>
      </c>
      <c r="J2069" t="s">
        <v>538</v>
      </c>
      <c r="K2069" t="s">
        <v>686</v>
      </c>
      <c r="L2069" t="s">
        <v>22</v>
      </c>
      <c r="M2069" s="1">
        <v>36044</v>
      </c>
      <c r="N2069">
        <v>1998</v>
      </c>
    </row>
    <row r="2070" spans="1:14">
      <c r="A2070" t="s">
        <v>14</v>
      </c>
      <c r="B2070" t="str">
        <f>"111911199801"</f>
        <v>111911199801</v>
      </c>
      <c r="C2070" t="s">
        <v>784</v>
      </c>
      <c r="D2070" t="s">
        <v>95</v>
      </c>
      <c r="G2070" t="s">
        <v>17</v>
      </c>
      <c r="H2070" t="s">
        <v>25</v>
      </c>
      <c r="I2070" t="s">
        <v>537</v>
      </c>
      <c r="J2070" t="s">
        <v>538</v>
      </c>
      <c r="K2070" t="s">
        <v>539</v>
      </c>
      <c r="M2070" s="1">
        <v>36118</v>
      </c>
      <c r="N2070">
        <v>1998</v>
      </c>
    </row>
    <row r="2071" spans="1:14">
      <c r="A2071" t="s">
        <v>14</v>
      </c>
      <c r="B2071" t="str">
        <f>"112511199600"</f>
        <v>112511199600</v>
      </c>
      <c r="C2071" t="s">
        <v>2424</v>
      </c>
      <c r="D2071" t="s">
        <v>100</v>
      </c>
      <c r="G2071" t="s">
        <v>17</v>
      </c>
      <c r="H2071" t="s">
        <v>25</v>
      </c>
      <c r="I2071" t="s">
        <v>537</v>
      </c>
      <c r="J2071" t="s">
        <v>538</v>
      </c>
      <c r="K2071" t="s">
        <v>539</v>
      </c>
      <c r="L2071" t="s">
        <v>22</v>
      </c>
      <c r="M2071" s="1">
        <v>35394</v>
      </c>
      <c r="N2071">
        <v>1996</v>
      </c>
    </row>
    <row r="2072" spans="1:14">
      <c r="A2072" t="s">
        <v>14</v>
      </c>
      <c r="B2072" t="str">
        <f>"111712200101"</f>
        <v>111712200101</v>
      </c>
      <c r="C2072" t="s">
        <v>1399</v>
      </c>
      <c r="D2072" t="s">
        <v>115</v>
      </c>
      <c r="G2072" t="s">
        <v>17</v>
      </c>
      <c r="H2072" t="s">
        <v>18</v>
      </c>
      <c r="I2072" t="s">
        <v>537</v>
      </c>
      <c r="J2072" t="s">
        <v>538</v>
      </c>
      <c r="K2072" t="s">
        <v>686</v>
      </c>
      <c r="L2072" t="s">
        <v>63</v>
      </c>
      <c r="M2072" s="1">
        <v>37242</v>
      </c>
      <c r="N2072">
        <v>2001</v>
      </c>
    </row>
    <row r="2073" spans="1:14">
      <c r="A2073" t="s">
        <v>14</v>
      </c>
      <c r="B2073" t="str">
        <f>"112602200000"</f>
        <v>112602200000</v>
      </c>
      <c r="C2073" t="s">
        <v>2041</v>
      </c>
      <c r="D2073" t="s">
        <v>53</v>
      </c>
      <c r="G2073" t="s">
        <v>17</v>
      </c>
      <c r="H2073" t="s">
        <v>18</v>
      </c>
      <c r="I2073" t="s">
        <v>537</v>
      </c>
      <c r="J2073" t="s">
        <v>538</v>
      </c>
      <c r="K2073" t="s">
        <v>539</v>
      </c>
      <c r="L2073" t="s">
        <v>63</v>
      </c>
      <c r="M2073" s="1">
        <v>36582</v>
      </c>
      <c r="N2073">
        <v>2000</v>
      </c>
    </row>
    <row r="2074" spans="1:14">
      <c r="A2074" t="s">
        <v>14</v>
      </c>
      <c r="B2074" t="str">
        <f>"113105200001"</f>
        <v>113105200001</v>
      </c>
      <c r="C2074" t="s">
        <v>2909</v>
      </c>
      <c r="D2074" t="s">
        <v>221</v>
      </c>
      <c r="G2074" t="s">
        <v>17</v>
      </c>
      <c r="H2074" t="s">
        <v>18</v>
      </c>
      <c r="I2074" t="s">
        <v>537</v>
      </c>
      <c r="J2074" t="s">
        <v>538</v>
      </c>
      <c r="K2074" t="s">
        <v>686</v>
      </c>
      <c r="M2074" s="1">
        <v>36677</v>
      </c>
      <c r="N2074">
        <v>2000</v>
      </c>
    </row>
    <row r="2075" spans="1:14">
      <c r="A2075" t="s">
        <v>14</v>
      </c>
      <c r="B2075" t="str">
        <f>"112802200500"</f>
        <v>112802200500</v>
      </c>
      <c r="C2075" t="s">
        <v>2826</v>
      </c>
      <c r="D2075" t="s">
        <v>259</v>
      </c>
      <c r="G2075" t="s">
        <v>17</v>
      </c>
      <c r="H2075" t="s">
        <v>39</v>
      </c>
      <c r="I2075" t="s">
        <v>537</v>
      </c>
      <c r="J2075" t="s">
        <v>538</v>
      </c>
      <c r="K2075" t="s">
        <v>686</v>
      </c>
      <c r="M2075" s="1">
        <v>38411</v>
      </c>
      <c r="N2075">
        <v>2005</v>
      </c>
    </row>
    <row r="2076" spans="1:14">
      <c r="A2076" t="s">
        <v>14</v>
      </c>
      <c r="B2076" t="str">
        <f>"111305200300"</f>
        <v>111305200300</v>
      </c>
      <c r="C2076" t="s">
        <v>1093</v>
      </c>
      <c r="D2076" t="s">
        <v>129</v>
      </c>
      <c r="G2076" t="s">
        <v>17</v>
      </c>
      <c r="H2076" t="s">
        <v>51</v>
      </c>
      <c r="I2076" t="s">
        <v>537</v>
      </c>
      <c r="J2076" t="s">
        <v>538</v>
      </c>
      <c r="K2076" t="s">
        <v>539</v>
      </c>
      <c r="M2076" s="1">
        <v>37754</v>
      </c>
      <c r="N2076">
        <v>2003</v>
      </c>
    </row>
    <row r="2077" spans="1:14">
      <c r="A2077" t="s">
        <v>14</v>
      </c>
      <c r="B2077" t="str">
        <f>"110511200200"</f>
        <v>110511200200</v>
      </c>
      <c r="C2077" t="s">
        <v>1105</v>
      </c>
      <c r="D2077" t="s">
        <v>100</v>
      </c>
      <c r="G2077" t="s">
        <v>17</v>
      </c>
      <c r="H2077" t="s">
        <v>51</v>
      </c>
      <c r="I2077" t="s">
        <v>537</v>
      </c>
      <c r="J2077" t="s">
        <v>538</v>
      </c>
      <c r="K2077" t="s">
        <v>1106</v>
      </c>
      <c r="L2077" t="s">
        <v>63</v>
      </c>
      <c r="M2077" s="1">
        <v>37565</v>
      </c>
      <c r="N2077">
        <v>2002</v>
      </c>
    </row>
    <row r="2078" spans="1:14">
      <c r="A2078" t="s">
        <v>14</v>
      </c>
      <c r="B2078" t="str">
        <f>"110404200200"</f>
        <v>110404200200</v>
      </c>
      <c r="C2078" t="s">
        <v>1456</v>
      </c>
      <c r="D2078" t="s">
        <v>129</v>
      </c>
      <c r="G2078" t="s">
        <v>17</v>
      </c>
      <c r="H2078" t="s">
        <v>51</v>
      </c>
      <c r="I2078" t="s">
        <v>537</v>
      </c>
      <c r="J2078" t="s">
        <v>538</v>
      </c>
      <c r="K2078" t="s">
        <v>1106</v>
      </c>
      <c r="L2078" t="s">
        <v>63</v>
      </c>
      <c r="M2078" s="1">
        <v>37350</v>
      </c>
      <c r="N2078">
        <v>2002</v>
      </c>
    </row>
    <row r="2079" spans="1:14">
      <c r="A2079" t="s">
        <v>14</v>
      </c>
      <c r="B2079" t="str">
        <f>"110207200200"</f>
        <v>110207200200</v>
      </c>
      <c r="C2079" t="s">
        <v>1584</v>
      </c>
      <c r="D2079" t="s">
        <v>98</v>
      </c>
      <c r="G2079" t="s">
        <v>17</v>
      </c>
      <c r="H2079" t="s">
        <v>51</v>
      </c>
      <c r="I2079" t="s">
        <v>537</v>
      </c>
      <c r="J2079" t="s">
        <v>538</v>
      </c>
      <c r="K2079" t="s">
        <v>1106</v>
      </c>
      <c r="L2079" t="s">
        <v>22</v>
      </c>
      <c r="M2079" s="1">
        <v>37439</v>
      </c>
      <c r="N2079">
        <v>2002</v>
      </c>
    </row>
    <row r="2080" spans="1:14">
      <c r="A2080" t="s">
        <v>14</v>
      </c>
      <c r="B2080" t="str">
        <f>"111704200200"</f>
        <v>111704200200</v>
      </c>
      <c r="C2080" t="s">
        <v>1875</v>
      </c>
      <c r="D2080" t="s">
        <v>120</v>
      </c>
      <c r="G2080" t="s">
        <v>17</v>
      </c>
      <c r="H2080" t="s">
        <v>51</v>
      </c>
      <c r="I2080" t="s">
        <v>537</v>
      </c>
      <c r="J2080" t="s">
        <v>538</v>
      </c>
      <c r="K2080" t="s">
        <v>1106</v>
      </c>
      <c r="L2080" t="s">
        <v>22</v>
      </c>
      <c r="M2080" s="1">
        <v>37363</v>
      </c>
      <c r="N2080">
        <v>2002</v>
      </c>
    </row>
    <row r="2081" spans="1:14">
      <c r="A2081" t="s">
        <v>14</v>
      </c>
      <c r="B2081" t="str">
        <f>"110911200301"</f>
        <v>110911200301</v>
      </c>
      <c r="C2081" t="s">
        <v>2826</v>
      </c>
      <c r="D2081" t="s">
        <v>373</v>
      </c>
      <c r="G2081" t="s">
        <v>17</v>
      </c>
      <c r="H2081" t="s">
        <v>51</v>
      </c>
      <c r="I2081" t="s">
        <v>537</v>
      </c>
      <c r="J2081" t="s">
        <v>538</v>
      </c>
      <c r="K2081" t="s">
        <v>2827</v>
      </c>
      <c r="L2081" t="s">
        <v>22</v>
      </c>
      <c r="M2081" s="1">
        <v>37934</v>
      </c>
      <c r="N2081">
        <v>2003</v>
      </c>
    </row>
    <row r="2082" spans="1:14">
      <c r="A2082" t="s">
        <v>14</v>
      </c>
      <c r="B2082" t="str">
        <f>"122209200400"</f>
        <v>122209200400</v>
      </c>
      <c r="C2082" t="s">
        <v>897</v>
      </c>
      <c r="D2082" t="s">
        <v>234</v>
      </c>
      <c r="G2082" t="s">
        <v>32</v>
      </c>
      <c r="H2082" t="s">
        <v>33</v>
      </c>
      <c r="I2082" t="s">
        <v>388</v>
      </c>
      <c r="J2082" t="s">
        <v>389</v>
      </c>
      <c r="K2082" t="s">
        <v>898</v>
      </c>
      <c r="M2082" s="1">
        <v>38252</v>
      </c>
      <c r="N2082">
        <v>2004</v>
      </c>
    </row>
    <row r="2083" spans="1:14">
      <c r="A2083" t="s">
        <v>14</v>
      </c>
      <c r="B2083" t="str">
        <f>"121108200400"</f>
        <v>121108200400</v>
      </c>
      <c r="C2083" t="s">
        <v>1694</v>
      </c>
      <c r="D2083" t="s">
        <v>64</v>
      </c>
      <c r="G2083" t="s">
        <v>32</v>
      </c>
      <c r="H2083" t="s">
        <v>33</v>
      </c>
      <c r="I2083" t="s">
        <v>388</v>
      </c>
      <c r="J2083" t="s">
        <v>389</v>
      </c>
      <c r="K2083" t="s">
        <v>671</v>
      </c>
      <c r="M2083" s="1">
        <v>38210</v>
      </c>
      <c r="N2083">
        <v>2004</v>
      </c>
    </row>
    <row r="2084" spans="1:14">
      <c r="A2084" t="s">
        <v>14</v>
      </c>
      <c r="B2084" t="str">
        <f>"121006200400"</f>
        <v>121006200400</v>
      </c>
      <c r="C2084" t="s">
        <v>2373</v>
      </c>
      <c r="D2084" t="s">
        <v>64</v>
      </c>
      <c r="G2084" t="s">
        <v>32</v>
      </c>
      <c r="H2084" t="s">
        <v>33</v>
      </c>
      <c r="I2084" t="s">
        <v>388</v>
      </c>
      <c r="J2084" t="s">
        <v>389</v>
      </c>
      <c r="K2084" t="s">
        <v>390</v>
      </c>
      <c r="L2084" t="s">
        <v>22</v>
      </c>
      <c r="M2084" s="1">
        <v>38148</v>
      </c>
      <c r="N2084">
        <v>2004</v>
      </c>
    </row>
    <row r="2085" spans="1:14">
      <c r="A2085" t="s">
        <v>14</v>
      </c>
      <c r="B2085" t="str">
        <f>"121810200400"</f>
        <v>121810200400</v>
      </c>
      <c r="C2085" t="s">
        <v>2530</v>
      </c>
      <c r="D2085" t="s">
        <v>194</v>
      </c>
      <c r="G2085" t="s">
        <v>32</v>
      </c>
      <c r="H2085" t="s">
        <v>33</v>
      </c>
      <c r="I2085" t="s">
        <v>388</v>
      </c>
      <c r="J2085" t="s">
        <v>389</v>
      </c>
      <c r="K2085" t="s">
        <v>2531</v>
      </c>
      <c r="M2085" s="1">
        <v>38278</v>
      </c>
      <c r="N2085">
        <v>2004</v>
      </c>
    </row>
    <row r="2086" spans="1:14">
      <c r="A2086" t="s">
        <v>14</v>
      </c>
      <c r="B2086" t="str">
        <f>"121006200300"</f>
        <v>121006200300</v>
      </c>
      <c r="C2086" t="s">
        <v>2389</v>
      </c>
      <c r="D2086" t="s">
        <v>1513</v>
      </c>
      <c r="G2086" t="s">
        <v>32</v>
      </c>
      <c r="H2086" t="s">
        <v>65</v>
      </c>
      <c r="I2086" t="s">
        <v>388</v>
      </c>
      <c r="J2086" t="s">
        <v>389</v>
      </c>
      <c r="K2086" t="s">
        <v>390</v>
      </c>
      <c r="L2086" t="s">
        <v>22</v>
      </c>
      <c r="M2086" s="1">
        <v>37782</v>
      </c>
      <c r="N2086">
        <v>2003</v>
      </c>
    </row>
    <row r="2087" spans="1:14">
      <c r="A2087" t="s">
        <v>14</v>
      </c>
      <c r="B2087" t="str">
        <f>"122411200200"</f>
        <v>122411200200</v>
      </c>
      <c r="C2087" t="s">
        <v>2753</v>
      </c>
      <c r="D2087" t="s">
        <v>58</v>
      </c>
      <c r="G2087" t="s">
        <v>32</v>
      </c>
      <c r="H2087" t="s">
        <v>65</v>
      </c>
      <c r="I2087" t="s">
        <v>388</v>
      </c>
      <c r="J2087" t="s">
        <v>389</v>
      </c>
      <c r="K2087" t="s">
        <v>390</v>
      </c>
      <c r="L2087" t="s">
        <v>22</v>
      </c>
      <c r="M2087" s="1">
        <v>37584</v>
      </c>
      <c r="N2087">
        <v>2002</v>
      </c>
    </row>
    <row r="2088" spans="1:14">
      <c r="A2088" t="s">
        <v>14</v>
      </c>
      <c r="B2088" t="str">
        <f>"112409199600"</f>
        <v>112409199600</v>
      </c>
      <c r="C2088" t="s">
        <v>1474</v>
      </c>
      <c r="D2088" t="s">
        <v>16</v>
      </c>
      <c r="G2088" t="s">
        <v>17</v>
      </c>
      <c r="H2088" t="s">
        <v>25</v>
      </c>
      <c r="I2088" t="s">
        <v>388</v>
      </c>
      <c r="J2088" t="s">
        <v>389</v>
      </c>
      <c r="K2088" t="s">
        <v>1328</v>
      </c>
      <c r="L2088" t="s">
        <v>63</v>
      </c>
      <c r="M2088" s="1">
        <v>35332</v>
      </c>
      <c r="N2088">
        <v>1996</v>
      </c>
    </row>
    <row r="2089" spans="1:14">
      <c r="A2089" t="s">
        <v>14</v>
      </c>
      <c r="B2089" t="str">
        <f>"110106200102"</f>
        <v>110106200102</v>
      </c>
      <c r="C2089" t="s">
        <v>1327</v>
      </c>
      <c r="D2089" t="s">
        <v>50</v>
      </c>
      <c r="G2089" t="s">
        <v>17</v>
      </c>
      <c r="H2089" t="s">
        <v>18</v>
      </c>
      <c r="I2089" t="s">
        <v>388</v>
      </c>
      <c r="J2089" t="s">
        <v>389</v>
      </c>
      <c r="K2089" t="s">
        <v>1328</v>
      </c>
      <c r="M2089" s="1">
        <v>37043</v>
      </c>
      <c r="N2089">
        <v>2001</v>
      </c>
    </row>
    <row r="2090" spans="1:14">
      <c r="A2090" t="s">
        <v>14</v>
      </c>
      <c r="B2090" t="str">
        <f>"111909200000"</f>
        <v>111909200000</v>
      </c>
      <c r="C2090" t="s">
        <v>1572</v>
      </c>
      <c r="D2090" t="s">
        <v>283</v>
      </c>
      <c r="G2090" t="s">
        <v>17</v>
      </c>
      <c r="H2090" t="s">
        <v>18</v>
      </c>
      <c r="I2090" t="s">
        <v>388</v>
      </c>
      <c r="J2090" t="s">
        <v>389</v>
      </c>
      <c r="K2090" t="s">
        <v>1573</v>
      </c>
      <c r="L2090" t="s">
        <v>63</v>
      </c>
      <c r="M2090" s="1">
        <v>36788</v>
      </c>
      <c r="N2090">
        <v>2000</v>
      </c>
    </row>
    <row r="2091" spans="1:14">
      <c r="A2091" t="s">
        <v>14</v>
      </c>
      <c r="B2091" t="str">
        <f>"111307200102"</f>
        <v>111307200102</v>
      </c>
      <c r="C2091" t="s">
        <v>2433</v>
      </c>
      <c r="D2091" t="s">
        <v>344</v>
      </c>
      <c r="G2091" t="s">
        <v>17</v>
      </c>
      <c r="H2091" t="s">
        <v>18</v>
      </c>
      <c r="I2091" t="s">
        <v>388</v>
      </c>
      <c r="J2091" t="s">
        <v>389</v>
      </c>
      <c r="K2091" t="s">
        <v>1328</v>
      </c>
      <c r="M2091" s="1">
        <v>37085</v>
      </c>
      <c r="N2091">
        <v>2001</v>
      </c>
    </row>
    <row r="2092" spans="1:14">
      <c r="A2092" t="s">
        <v>14</v>
      </c>
      <c r="B2092" t="str">
        <f>"110306200500"</f>
        <v>110306200500</v>
      </c>
      <c r="C2092" t="s">
        <v>386</v>
      </c>
      <c r="D2092" t="s">
        <v>387</v>
      </c>
      <c r="G2092" t="s">
        <v>17</v>
      </c>
      <c r="H2092" t="s">
        <v>39</v>
      </c>
      <c r="I2092" t="s">
        <v>388</v>
      </c>
      <c r="J2092" t="s">
        <v>389</v>
      </c>
      <c r="K2092" t="s">
        <v>390</v>
      </c>
      <c r="M2092" s="1">
        <v>38506</v>
      </c>
      <c r="N2092">
        <v>2005</v>
      </c>
    </row>
    <row r="2093" spans="1:14">
      <c r="A2093" t="s">
        <v>14</v>
      </c>
      <c r="B2093" t="str">
        <f>"110612200400"</f>
        <v>110612200400</v>
      </c>
      <c r="C2093" t="s">
        <v>670</v>
      </c>
      <c r="D2093" t="s">
        <v>50</v>
      </c>
      <c r="G2093" t="s">
        <v>17</v>
      </c>
      <c r="H2093" t="s">
        <v>39</v>
      </c>
      <c r="I2093" t="s">
        <v>388</v>
      </c>
      <c r="J2093" t="s">
        <v>389</v>
      </c>
      <c r="K2093" t="s">
        <v>671</v>
      </c>
      <c r="M2093" s="1">
        <v>38327</v>
      </c>
      <c r="N2093">
        <v>2004</v>
      </c>
    </row>
    <row r="2094" spans="1:14">
      <c r="A2094" t="s">
        <v>14</v>
      </c>
      <c r="B2094" t="str">
        <f>"111906200400"</f>
        <v>111906200400</v>
      </c>
      <c r="C2094" t="s">
        <v>1330</v>
      </c>
      <c r="D2094" t="s">
        <v>373</v>
      </c>
      <c r="G2094" t="s">
        <v>17</v>
      </c>
      <c r="H2094" t="s">
        <v>39</v>
      </c>
      <c r="I2094" t="s">
        <v>388</v>
      </c>
      <c r="J2094" t="s">
        <v>389</v>
      </c>
      <c r="K2094" t="s">
        <v>390</v>
      </c>
      <c r="M2094" s="1">
        <v>38157</v>
      </c>
      <c r="N2094">
        <v>2004</v>
      </c>
    </row>
    <row r="2095" spans="1:14">
      <c r="A2095" t="s">
        <v>14</v>
      </c>
      <c r="B2095" t="str">
        <f>"111401200302"</f>
        <v>111401200302</v>
      </c>
      <c r="C2095" t="s">
        <v>1253</v>
      </c>
      <c r="D2095" t="s">
        <v>1254</v>
      </c>
      <c r="G2095" t="s">
        <v>17</v>
      </c>
      <c r="H2095" t="s">
        <v>51</v>
      </c>
      <c r="I2095" t="s">
        <v>388</v>
      </c>
      <c r="J2095" t="s">
        <v>389</v>
      </c>
      <c r="K2095" t="s">
        <v>671</v>
      </c>
      <c r="M2095" s="1">
        <v>37635</v>
      </c>
      <c r="N2095">
        <v>2003</v>
      </c>
    </row>
    <row r="2096" spans="1:14">
      <c r="A2096" t="s">
        <v>14</v>
      </c>
      <c r="B2096" t="str">
        <f>"112701200301"</f>
        <v>112701200301</v>
      </c>
      <c r="C2096" t="s">
        <v>1729</v>
      </c>
      <c r="D2096" t="s">
        <v>268</v>
      </c>
      <c r="G2096" t="s">
        <v>17</v>
      </c>
      <c r="H2096" t="s">
        <v>51</v>
      </c>
      <c r="I2096" t="s">
        <v>388</v>
      </c>
      <c r="J2096" t="s">
        <v>389</v>
      </c>
      <c r="K2096" t="s">
        <v>390</v>
      </c>
      <c r="M2096" s="1">
        <v>37648</v>
      </c>
      <c r="N2096">
        <v>2003</v>
      </c>
    </row>
    <row r="2097" spans="1:14">
      <c r="A2097" t="s">
        <v>14</v>
      </c>
      <c r="B2097" t="str">
        <f>"112512200302"</f>
        <v>112512200302</v>
      </c>
      <c r="C2097" t="s">
        <v>2095</v>
      </c>
      <c r="D2097" t="s">
        <v>277</v>
      </c>
      <c r="G2097" t="s">
        <v>17</v>
      </c>
      <c r="H2097" t="s">
        <v>51</v>
      </c>
      <c r="I2097" t="s">
        <v>388</v>
      </c>
      <c r="J2097" t="s">
        <v>389</v>
      </c>
      <c r="K2097" t="s">
        <v>671</v>
      </c>
      <c r="M2097" s="1">
        <v>37980</v>
      </c>
      <c r="N2097">
        <v>2003</v>
      </c>
    </row>
    <row r="2098" spans="1:14">
      <c r="A2098" t="s">
        <v>14</v>
      </c>
      <c r="B2098" t="str">
        <f>"110505200200"</f>
        <v>110505200200</v>
      </c>
      <c r="C2098" t="s">
        <v>2908</v>
      </c>
      <c r="D2098" t="s">
        <v>392</v>
      </c>
      <c r="G2098" t="s">
        <v>17</v>
      </c>
      <c r="H2098" t="s">
        <v>51</v>
      </c>
      <c r="I2098" t="s">
        <v>388</v>
      </c>
      <c r="J2098" t="s">
        <v>389</v>
      </c>
      <c r="K2098" t="s">
        <v>390</v>
      </c>
      <c r="M2098" s="1">
        <v>37381</v>
      </c>
      <c r="N2098">
        <v>2002</v>
      </c>
    </row>
    <row r="2099" spans="1:14">
      <c r="A2099" t="s">
        <v>14</v>
      </c>
      <c r="B2099" t="str">
        <f>"122403200400"</f>
        <v>122403200400</v>
      </c>
      <c r="C2099" t="s">
        <v>270</v>
      </c>
      <c r="D2099" t="s">
        <v>203</v>
      </c>
      <c r="G2099" t="s">
        <v>32</v>
      </c>
      <c r="H2099" t="s">
        <v>33</v>
      </c>
      <c r="I2099" t="s">
        <v>66</v>
      </c>
      <c r="J2099" t="s">
        <v>67</v>
      </c>
      <c r="K2099" t="s">
        <v>245</v>
      </c>
      <c r="L2099" t="s">
        <v>22</v>
      </c>
      <c r="M2099" s="1">
        <v>38070</v>
      </c>
      <c r="N2099">
        <v>2004</v>
      </c>
    </row>
    <row r="2100" spans="1:14">
      <c r="A2100" t="s">
        <v>14</v>
      </c>
      <c r="B2100" t="str">
        <f>"120806200400"</f>
        <v>120806200400</v>
      </c>
      <c r="C2100" t="s">
        <v>470</v>
      </c>
      <c r="D2100" t="s">
        <v>233</v>
      </c>
      <c r="G2100" t="s">
        <v>32</v>
      </c>
      <c r="H2100" t="s">
        <v>33</v>
      </c>
      <c r="I2100" t="s">
        <v>66</v>
      </c>
      <c r="J2100" t="s">
        <v>67</v>
      </c>
      <c r="K2100" t="s">
        <v>245</v>
      </c>
      <c r="L2100" t="s">
        <v>63</v>
      </c>
      <c r="M2100" s="1">
        <v>38146</v>
      </c>
      <c r="N2100">
        <v>2004</v>
      </c>
    </row>
    <row r="2101" spans="1:14">
      <c r="A2101" t="s">
        <v>14</v>
      </c>
      <c r="B2101" t="str">
        <f>"122102200400"</f>
        <v>122102200400</v>
      </c>
      <c r="C2101" t="s">
        <v>523</v>
      </c>
      <c r="D2101" t="s">
        <v>524</v>
      </c>
      <c r="G2101" t="s">
        <v>32</v>
      </c>
      <c r="H2101" t="s">
        <v>33</v>
      </c>
      <c r="I2101" t="s">
        <v>66</v>
      </c>
      <c r="J2101" t="s">
        <v>67</v>
      </c>
      <c r="K2101" t="s">
        <v>245</v>
      </c>
      <c r="L2101" t="s">
        <v>22</v>
      </c>
      <c r="M2101" s="1">
        <v>38038</v>
      </c>
      <c r="N2101">
        <v>2004</v>
      </c>
    </row>
    <row r="2102" spans="1:14">
      <c r="A2102" t="s">
        <v>14</v>
      </c>
      <c r="B2102" t="str">
        <f>"123003200400"</f>
        <v>123003200400</v>
      </c>
      <c r="C2102" t="s">
        <v>706</v>
      </c>
      <c r="D2102" t="s">
        <v>707</v>
      </c>
      <c r="G2102" t="s">
        <v>32</v>
      </c>
      <c r="H2102" t="s">
        <v>33</v>
      </c>
      <c r="I2102" t="s">
        <v>66</v>
      </c>
      <c r="J2102" t="s">
        <v>67</v>
      </c>
      <c r="K2102" t="s">
        <v>245</v>
      </c>
      <c r="L2102" t="s">
        <v>22</v>
      </c>
      <c r="M2102" s="1">
        <v>38076</v>
      </c>
      <c r="N2102">
        <v>2004</v>
      </c>
    </row>
    <row r="2103" spans="1:14">
      <c r="A2103" t="s">
        <v>14</v>
      </c>
      <c r="B2103" t="str">
        <f>"120104200400"</f>
        <v>120104200400</v>
      </c>
      <c r="C2103" t="s">
        <v>1534</v>
      </c>
      <c r="D2103" t="s">
        <v>205</v>
      </c>
      <c r="G2103" t="s">
        <v>32</v>
      </c>
      <c r="H2103" t="s">
        <v>33</v>
      </c>
      <c r="I2103" t="s">
        <v>66</v>
      </c>
      <c r="J2103" t="s">
        <v>67</v>
      </c>
      <c r="K2103" t="s">
        <v>245</v>
      </c>
      <c r="L2103" t="s">
        <v>22</v>
      </c>
      <c r="M2103" s="1">
        <v>38078</v>
      </c>
      <c r="N2103">
        <v>2004</v>
      </c>
    </row>
    <row r="2104" spans="1:14">
      <c r="A2104" t="s">
        <v>14</v>
      </c>
      <c r="B2104" t="str">
        <f>"120111200400"</f>
        <v>120111200400</v>
      </c>
      <c r="C2104" t="s">
        <v>1740</v>
      </c>
      <c r="D2104" t="s">
        <v>205</v>
      </c>
      <c r="G2104" t="s">
        <v>32</v>
      </c>
      <c r="H2104" t="s">
        <v>33</v>
      </c>
      <c r="I2104" t="s">
        <v>66</v>
      </c>
      <c r="J2104" t="s">
        <v>67</v>
      </c>
      <c r="K2104" t="s">
        <v>245</v>
      </c>
      <c r="L2104" t="s">
        <v>22</v>
      </c>
      <c r="M2104" s="1">
        <v>38292</v>
      </c>
      <c r="N2104">
        <v>2004</v>
      </c>
    </row>
    <row r="2105" spans="1:14">
      <c r="A2105" t="s">
        <v>14</v>
      </c>
      <c r="B2105" t="str">
        <f>"121911200500"</f>
        <v>121911200500</v>
      </c>
      <c r="C2105" t="s">
        <v>1823</v>
      </c>
      <c r="D2105" t="s">
        <v>332</v>
      </c>
      <c r="G2105" t="s">
        <v>32</v>
      </c>
      <c r="H2105" t="s">
        <v>33</v>
      </c>
      <c r="I2105" t="s">
        <v>66</v>
      </c>
      <c r="J2105" t="s">
        <v>67</v>
      </c>
      <c r="K2105" t="s">
        <v>245</v>
      </c>
      <c r="L2105" t="s">
        <v>22</v>
      </c>
      <c r="M2105" s="1">
        <v>38675</v>
      </c>
      <c r="N2105">
        <v>2005</v>
      </c>
    </row>
    <row r="2106" spans="1:14">
      <c r="A2106" t="s">
        <v>14</v>
      </c>
      <c r="B2106" t="str">
        <f>"122503200501"</f>
        <v>122503200501</v>
      </c>
      <c r="C2106" t="s">
        <v>1891</v>
      </c>
      <c r="D2106" t="s">
        <v>232</v>
      </c>
      <c r="G2106" t="s">
        <v>32</v>
      </c>
      <c r="H2106" t="s">
        <v>33</v>
      </c>
      <c r="I2106" t="s">
        <v>66</v>
      </c>
      <c r="J2106" t="s">
        <v>67</v>
      </c>
      <c r="K2106" t="s">
        <v>245</v>
      </c>
      <c r="L2106" t="s">
        <v>22</v>
      </c>
      <c r="M2106" s="1">
        <v>38436</v>
      </c>
      <c r="N2106">
        <v>2005</v>
      </c>
    </row>
    <row r="2107" spans="1:14">
      <c r="A2107" t="s">
        <v>14</v>
      </c>
      <c r="B2107" t="str">
        <f>"120403200500"</f>
        <v>120403200500</v>
      </c>
      <c r="C2107" t="s">
        <v>2176</v>
      </c>
      <c r="D2107" t="s">
        <v>31</v>
      </c>
      <c r="G2107" t="s">
        <v>32</v>
      </c>
      <c r="H2107" t="s">
        <v>33</v>
      </c>
      <c r="I2107" t="s">
        <v>66</v>
      </c>
      <c r="J2107" t="s">
        <v>67</v>
      </c>
      <c r="K2107" t="s">
        <v>245</v>
      </c>
      <c r="L2107" t="s">
        <v>22</v>
      </c>
      <c r="M2107" s="1">
        <v>38415</v>
      </c>
      <c r="N2107">
        <v>2005</v>
      </c>
    </row>
    <row r="2108" spans="1:14">
      <c r="A2108" t="s">
        <v>14</v>
      </c>
      <c r="B2108" t="str">
        <f>"122603200400"</f>
        <v>122603200400</v>
      </c>
      <c r="C2108" t="s">
        <v>2787</v>
      </c>
      <c r="D2108" t="s">
        <v>127</v>
      </c>
      <c r="G2108" t="s">
        <v>32</v>
      </c>
      <c r="H2108" t="s">
        <v>33</v>
      </c>
      <c r="I2108" t="s">
        <v>66</v>
      </c>
      <c r="J2108" t="s">
        <v>67</v>
      </c>
      <c r="K2108" t="s">
        <v>245</v>
      </c>
      <c r="L2108" t="s">
        <v>22</v>
      </c>
      <c r="M2108" s="1">
        <v>38072</v>
      </c>
      <c r="N2108">
        <v>2004</v>
      </c>
    </row>
    <row r="2109" spans="1:14">
      <c r="A2109" t="s">
        <v>14</v>
      </c>
      <c r="B2109" t="str">
        <f>"121502200202"</f>
        <v>121502200202</v>
      </c>
      <c r="C2109" t="s">
        <v>57</v>
      </c>
      <c r="D2109" t="s">
        <v>64</v>
      </c>
      <c r="G2109" t="s">
        <v>32</v>
      </c>
      <c r="H2109" t="s">
        <v>65</v>
      </c>
      <c r="I2109" t="s">
        <v>66</v>
      </c>
      <c r="J2109" t="s">
        <v>67</v>
      </c>
      <c r="K2109" t="s">
        <v>68</v>
      </c>
      <c r="L2109" t="s">
        <v>22</v>
      </c>
      <c r="M2109" s="1">
        <v>37302</v>
      </c>
      <c r="N2109">
        <v>2002</v>
      </c>
    </row>
    <row r="2110" spans="1:14">
      <c r="A2110" t="s">
        <v>14</v>
      </c>
      <c r="B2110" t="str">
        <f>"120608200300"</f>
        <v>120608200300</v>
      </c>
      <c r="C2110" t="s">
        <v>231</v>
      </c>
      <c r="D2110" t="s">
        <v>234</v>
      </c>
      <c r="G2110" t="s">
        <v>32</v>
      </c>
      <c r="H2110" t="s">
        <v>65</v>
      </c>
      <c r="I2110" t="s">
        <v>66</v>
      </c>
      <c r="J2110" t="s">
        <v>67</v>
      </c>
      <c r="K2110" t="s">
        <v>68</v>
      </c>
      <c r="L2110" t="s">
        <v>22</v>
      </c>
      <c r="M2110" s="1">
        <v>37839</v>
      </c>
      <c r="N2110">
        <v>2003</v>
      </c>
    </row>
    <row r="2111" spans="1:14">
      <c r="A2111" t="s">
        <v>14</v>
      </c>
      <c r="B2111" t="str">
        <f>"121608200200"</f>
        <v>121608200200</v>
      </c>
      <c r="C2111" t="s">
        <v>584</v>
      </c>
      <c r="D2111" t="s">
        <v>233</v>
      </c>
      <c r="G2111" t="s">
        <v>32</v>
      </c>
      <c r="H2111" t="s">
        <v>65</v>
      </c>
      <c r="I2111" t="s">
        <v>66</v>
      </c>
      <c r="J2111" t="s">
        <v>67</v>
      </c>
      <c r="K2111" t="s">
        <v>68</v>
      </c>
      <c r="L2111" t="s">
        <v>22</v>
      </c>
      <c r="M2111" s="1">
        <v>37484</v>
      </c>
      <c r="N2111">
        <v>2002</v>
      </c>
    </row>
    <row r="2112" spans="1:14">
      <c r="A2112" t="s">
        <v>14</v>
      </c>
      <c r="B2112" t="str">
        <f>"122604200200"</f>
        <v>122604200200</v>
      </c>
      <c r="C2112" t="s">
        <v>669</v>
      </c>
      <c r="D2112" t="s">
        <v>184</v>
      </c>
      <c r="G2112" t="s">
        <v>32</v>
      </c>
      <c r="H2112" t="s">
        <v>65</v>
      </c>
      <c r="I2112" t="s">
        <v>66</v>
      </c>
      <c r="J2112" t="s">
        <v>67</v>
      </c>
      <c r="K2112" t="s">
        <v>68</v>
      </c>
      <c r="L2112" t="s">
        <v>63</v>
      </c>
      <c r="M2112" s="1">
        <v>37372</v>
      </c>
      <c r="N2112">
        <v>2002</v>
      </c>
    </row>
    <row r="2113" spans="1:14">
      <c r="A2113" t="s">
        <v>14</v>
      </c>
      <c r="B2113" t="str">
        <f>"120310200300"</f>
        <v>120310200300</v>
      </c>
      <c r="C2113" t="s">
        <v>1228</v>
      </c>
      <c r="D2113" t="s">
        <v>127</v>
      </c>
      <c r="G2113" t="s">
        <v>32</v>
      </c>
      <c r="H2113" t="s">
        <v>65</v>
      </c>
      <c r="I2113" t="s">
        <v>66</v>
      </c>
      <c r="J2113" t="s">
        <v>67</v>
      </c>
      <c r="K2113" t="s">
        <v>68</v>
      </c>
      <c r="L2113" t="s">
        <v>22</v>
      </c>
      <c r="M2113" s="1">
        <v>37897</v>
      </c>
      <c r="N2113">
        <v>2003</v>
      </c>
    </row>
    <row r="2114" spans="1:14">
      <c r="A2114" t="s">
        <v>14</v>
      </c>
      <c r="B2114" t="str">
        <f>"112206200200"</f>
        <v>112206200200</v>
      </c>
      <c r="C2114" t="s">
        <v>1406</v>
      </c>
      <c r="D2114" t="s">
        <v>58</v>
      </c>
      <c r="G2114" t="s">
        <v>32</v>
      </c>
      <c r="H2114" t="s">
        <v>65</v>
      </c>
      <c r="I2114" t="s">
        <v>66</v>
      </c>
      <c r="J2114" t="s">
        <v>67</v>
      </c>
      <c r="K2114" t="s">
        <v>68</v>
      </c>
      <c r="L2114" t="s">
        <v>22</v>
      </c>
      <c r="M2114" s="1">
        <v>37429</v>
      </c>
      <c r="N2114">
        <v>2002</v>
      </c>
    </row>
    <row r="2115" spans="1:14">
      <c r="A2115" t="s">
        <v>14</v>
      </c>
      <c r="B2115" t="str">
        <f>"122209200301"</f>
        <v>122209200301</v>
      </c>
      <c r="C2115" t="s">
        <v>1414</v>
      </c>
      <c r="D2115" t="s">
        <v>127</v>
      </c>
      <c r="G2115" t="s">
        <v>32</v>
      </c>
      <c r="H2115" t="s">
        <v>65</v>
      </c>
      <c r="I2115" t="s">
        <v>66</v>
      </c>
      <c r="J2115" t="s">
        <v>67</v>
      </c>
      <c r="K2115" t="s">
        <v>245</v>
      </c>
      <c r="L2115" t="s">
        <v>22</v>
      </c>
      <c r="M2115" s="1">
        <v>37886</v>
      </c>
      <c r="N2115">
        <v>2003</v>
      </c>
    </row>
    <row r="2116" spans="1:14">
      <c r="A2116" t="s">
        <v>14</v>
      </c>
      <c r="B2116" t="str">
        <f>"122305200200"</f>
        <v>122305200200</v>
      </c>
      <c r="C2116" t="s">
        <v>1472</v>
      </c>
      <c r="D2116" t="s">
        <v>58</v>
      </c>
      <c r="G2116" t="s">
        <v>32</v>
      </c>
      <c r="H2116" t="s">
        <v>65</v>
      </c>
      <c r="I2116" t="s">
        <v>66</v>
      </c>
      <c r="J2116" t="s">
        <v>67</v>
      </c>
      <c r="K2116" t="s">
        <v>245</v>
      </c>
      <c r="L2116" t="s">
        <v>63</v>
      </c>
      <c r="M2116" s="1">
        <v>37399</v>
      </c>
      <c r="N2116">
        <v>2002</v>
      </c>
    </row>
    <row r="2117" spans="1:14">
      <c r="A2117" t="s">
        <v>14</v>
      </c>
      <c r="B2117" t="str">
        <f>"121906200200"</f>
        <v>121906200200</v>
      </c>
      <c r="C2117" t="s">
        <v>1755</v>
      </c>
      <c r="D2117" t="s">
        <v>233</v>
      </c>
      <c r="G2117" t="s">
        <v>32</v>
      </c>
      <c r="H2117" t="s">
        <v>65</v>
      </c>
      <c r="I2117" t="s">
        <v>66</v>
      </c>
      <c r="J2117" t="s">
        <v>67</v>
      </c>
      <c r="K2117" t="s">
        <v>245</v>
      </c>
      <c r="L2117" t="s">
        <v>63</v>
      </c>
      <c r="M2117" s="1">
        <v>37426</v>
      </c>
      <c r="N2117">
        <v>2002</v>
      </c>
    </row>
    <row r="2118" spans="1:14">
      <c r="A2118" t="s">
        <v>14</v>
      </c>
      <c r="B2118" t="str">
        <f>"122805200200"</f>
        <v>122805200200</v>
      </c>
      <c r="C2118" t="s">
        <v>1883</v>
      </c>
      <c r="D2118" t="s">
        <v>380</v>
      </c>
      <c r="G2118" t="s">
        <v>32</v>
      </c>
      <c r="H2118" t="s">
        <v>65</v>
      </c>
      <c r="I2118" t="s">
        <v>66</v>
      </c>
      <c r="J2118" t="s">
        <v>67</v>
      </c>
      <c r="K2118" t="s">
        <v>68</v>
      </c>
      <c r="L2118" t="s">
        <v>22</v>
      </c>
      <c r="M2118" s="1">
        <v>37404</v>
      </c>
      <c r="N2118">
        <v>2002</v>
      </c>
    </row>
    <row r="2119" spans="1:14">
      <c r="A2119" t="s">
        <v>14</v>
      </c>
      <c r="B2119" t="str">
        <f>"122603200300"</f>
        <v>122603200300</v>
      </c>
      <c r="C2119" t="s">
        <v>2205</v>
      </c>
      <c r="D2119" t="s">
        <v>203</v>
      </c>
      <c r="G2119" t="s">
        <v>32</v>
      </c>
      <c r="H2119" t="s">
        <v>65</v>
      </c>
      <c r="I2119" t="s">
        <v>66</v>
      </c>
      <c r="J2119" t="s">
        <v>67</v>
      </c>
      <c r="K2119" t="s">
        <v>245</v>
      </c>
      <c r="L2119" t="s">
        <v>22</v>
      </c>
      <c r="M2119" s="1">
        <v>37706</v>
      </c>
      <c r="N2119">
        <v>2003</v>
      </c>
    </row>
    <row r="2120" spans="1:14">
      <c r="A2120" t="s">
        <v>14</v>
      </c>
      <c r="B2120" t="str">
        <f>"120303200301"</f>
        <v>120303200301</v>
      </c>
      <c r="C2120" t="s">
        <v>2502</v>
      </c>
      <c r="D2120" t="s">
        <v>194</v>
      </c>
      <c r="G2120" t="s">
        <v>32</v>
      </c>
      <c r="H2120" t="s">
        <v>65</v>
      </c>
      <c r="I2120" t="s">
        <v>66</v>
      </c>
      <c r="J2120" t="s">
        <v>67</v>
      </c>
      <c r="K2120" t="s">
        <v>68</v>
      </c>
      <c r="L2120" t="s">
        <v>22</v>
      </c>
      <c r="M2120" s="1">
        <v>37683</v>
      </c>
      <c r="N2120">
        <v>2003</v>
      </c>
    </row>
    <row r="2121" spans="1:14">
      <c r="A2121" t="s">
        <v>14</v>
      </c>
      <c r="B2121" t="str">
        <f>"121005200300"</f>
        <v>121005200300</v>
      </c>
      <c r="C2121" t="s">
        <v>2667</v>
      </c>
      <c r="D2121" t="s">
        <v>380</v>
      </c>
      <c r="G2121" t="s">
        <v>32</v>
      </c>
      <c r="H2121" t="s">
        <v>65</v>
      </c>
      <c r="I2121" t="s">
        <v>66</v>
      </c>
      <c r="J2121" t="s">
        <v>67</v>
      </c>
      <c r="K2121" t="s">
        <v>245</v>
      </c>
      <c r="L2121" t="s">
        <v>22</v>
      </c>
      <c r="M2121" s="1">
        <v>37751</v>
      </c>
      <c r="N2121">
        <v>2003</v>
      </c>
    </row>
    <row r="2122" spans="1:14">
      <c r="A2122" t="s">
        <v>14</v>
      </c>
      <c r="B2122" t="str">
        <f>"120703199700"</f>
        <v>120703199700</v>
      </c>
      <c r="C2122" t="s">
        <v>435</v>
      </c>
      <c r="D2122" t="s">
        <v>194</v>
      </c>
      <c r="G2122" t="s">
        <v>32</v>
      </c>
      <c r="H2122" t="s">
        <v>59</v>
      </c>
      <c r="I2122" t="s">
        <v>66</v>
      </c>
      <c r="J2122" t="s">
        <v>67</v>
      </c>
      <c r="K2122" t="s">
        <v>436</v>
      </c>
      <c r="L2122" t="s">
        <v>48</v>
      </c>
      <c r="M2122" s="1">
        <v>35496</v>
      </c>
      <c r="N2122">
        <v>1997</v>
      </c>
    </row>
    <row r="2123" spans="1:14">
      <c r="A2123" t="s">
        <v>14</v>
      </c>
      <c r="B2123" t="str">
        <f>"121502199700"</f>
        <v>121502199700</v>
      </c>
      <c r="C2123" t="s">
        <v>761</v>
      </c>
      <c r="D2123" t="s">
        <v>127</v>
      </c>
      <c r="G2123" t="s">
        <v>32</v>
      </c>
      <c r="H2123" t="s">
        <v>59</v>
      </c>
      <c r="I2123" t="s">
        <v>66</v>
      </c>
      <c r="J2123" t="s">
        <v>67</v>
      </c>
      <c r="K2123" t="s">
        <v>436</v>
      </c>
      <c r="L2123" t="s">
        <v>48</v>
      </c>
      <c r="M2123" s="1">
        <v>35476</v>
      </c>
      <c r="N2123">
        <v>1997</v>
      </c>
    </row>
    <row r="2124" spans="1:14">
      <c r="A2124" t="s">
        <v>14</v>
      </c>
      <c r="B2124" t="str">
        <f>"122501199700"</f>
        <v>122501199700</v>
      </c>
      <c r="C2124" t="s">
        <v>1113</v>
      </c>
      <c r="D2124" t="s">
        <v>205</v>
      </c>
      <c r="G2124" t="s">
        <v>32</v>
      </c>
      <c r="H2124" t="s">
        <v>59</v>
      </c>
      <c r="I2124" t="s">
        <v>66</v>
      </c>
      <c r="J2124" t="s">
        <v>67</v>
      </c>
      <c r="K2124" t="s">
        <v>436</v>
      </c>
      <c r="L2124" t="s">
        <v>48</v>
      </c>
      <c r="M2124" s="1">
        <v>35455</v>
      </c>
      <c r="N2124">
        <v>1997</v>
      </c>
    </row>
    <row r="2125" spans="1:14">
      <c r="A2125" t="s">
        <v>14</v>
      </c>
      <c r="B2125" t="str">
        <f>"121510198801"</f>
        <v>121510198801</v>
      </c>
      <c r="C2125" t="s">
        <v>1134</v>
      </c>
      <c r="D2125" t="s">
        <v>127</v>
      </c>
      <c r="G2125" t="s">
        <v>32</v>
      </c>
      <c r="H2125" t="s">
        <v>59</v>
      </c>
      <c r="I2125" t="s">
        <v>66</v>
      </c>
      <c r="J2125" t="s">
        <v>67</v>
      </c>
      <c r="K2125" t="s">
        <v>1135</v>
      </c>
      <c r="L2125" t="s">
        <v>340</v>
      </c>
      <c r="M2125" s="1">
        <v>32431</v>
      </c>
      <c r="N2125">
        <v>1988</v>
      </c>
    </row>
    <row r="2126" spans="1:14">
      <c r="A2126" t="s">
        <v>14</v>
      </c>
      <c r="B2126" t="str">
        <f>"120107199000"</f>
        <v>120107199000</v>
      </c>
      <c r="C2126" t="s">
        <v>1892</v>
      </c>
      <c r="D2126" t="s">
        <v>510</v>
      </c>
      <c r="G2126" t="s">
        <v>32</v>
      </c>
      <c r="H2126" t="s">
        <v>59</v>
      </c>
      <c r="I2126" t="s">
        <v>66</v>
      </c>
      <c r="J2126" t="s">
        <v>67</v>
      </c>
      <c r="K2126" t="s">
        <v>436</v>
      </c>
      <c r="L2126" t="s">
        <v>48</v>
      </c>
      <c r="M2126" s="1">
        <v>33055</v>
      </c>
      <c r="N2126">
        <v>1990</v>
      </c>
    </row>
    <row r="2127" spans="1:14">
      <c r="A2127" t="s">
        <v>14</v>
      </c>
      <c r="B2127" t="str">
        <f>"120505199400"</f>
        <v>120505199400</v>
      </c>
      <c r="C2127" t="s">
        <v>2404</v>
      </c>
      <c r="D2127" t="s">
        <v>232</v>
      </c>
      <c r="G2127" t="s">
        <v>32</v>
      </c>
      <c r="H2127" t="s">
        <v>59</v>
      </c>
      <c r="I2127" t="s">
        <v>66</v>
      </c>
      <c r="J2127" t="s">
        <v>67</v>
      </c>
      <c r="K2127" t="s">
        <v>767</v>
      </c>
      <c r="L2127" t="s">
        <v>29</v>
      </c>
      <c r="M2127" s="1">
        <v>34459</v>
      </c>
      <c r="N2127">
        <v>1994</v>
      </c>
    </row>
    <row r="2128" spans="1:14">
      <c r="A2128" t="s">
        <v>14</v>
      </c>
      <c r="B2128" t="str">
        <f>"122608198700"</f>
        <v>122608198700</v>
      </c>
      <c r="C2128" t="s">
        <v>2449</v>
      </c>
      <c r="D2128" t="s">
        <v>235</v>
      </c>
      <c r="G2128" t="s">
        <v>32</v>
      </c>
      <c r="H2128" t="s">
        <v>59</v>
      </c>
      <c r="I2128" t="s">
        <v>66</v>
      </c>
      <c r="J2128" t="s">
        <v>67</v>
      </c>
      <c r="K2128" t="s">
        <v>767</v>
      </c>
      <c r="L2128" t="s">
        <v>340</v>
      </c>
      <c r="M2128" s="1">
        <v>32015</v>
      </c>
      <c r="N2128">
        <v>1987</v>
      </c>
    </row>
    <row r="2129" spans="1:14">
      <c r="A2129" t="s">
        <v>14</v>
      </c>
      <c r="B2129" t="str">
        <f>"122105199800"</f>
        <v>122105199800</v>
      </c>
      <c r="C2129" t="s">
        <v>2534</v>
      </c>
      <c r="D2129" t="s">
        <v>2535</v>
      </c>
      <c r="G2129" t="s">
        <v>32</v>
      </c>
      <c r="H2129" t="s">
        <v>59</v>
      </c>
      <c r="I2129" t="s">
        <v>66</v>
      </c>
      <c r="J2129" t="s">
        <v>67</v>
      </c>
      <c r="K2129" t="s">
        <v>436</v>
      </c>
      <c r="L2129" t="s">
        <v>48</v>
      </c>
      <c r="M2129" s="1">
        <v>35936</v>
      </c>
      <c r="N2129">
        <v>1998</v>
      </c>
    </row>
    <row r="2130" spans="1:14">
      <c r="A2130" t="s">
        <v>14</v>
      </c>
      <c r="B2130" t="str">
        <f>"121905199800"</f>
        <v>121905199800</v>
      </c>
      <c r="C2130" t="s">
        <v>2693</v>
      </c>
      <c r="D2130" t="s">
        <v>233</v>
      </c>
      <c r="G2130" t="s">
        <v>32</v>
      </c>
      <c r="H2130" t="s">
        <v>59</v>
      </c>
      <c r="I2130" t="s">
        <v>66</v>
      </c>
      <c r="J2130" t="s">
        <v>67</v>
      </c>
      <c r="K2130" t="s">
        <v>436</v>
      </c>
      <c r="L2130" t="s">
        <v>48</v>
      </c>
      <c r="M2130" s="1">
        <v>35934</v>
      </c>
      <c r="N2130">
        <v>1998</v>
      </c>
    </row>
    <row r="2131" spans="1:14">
      <c r="A2131" t="s">
        <v>14</v>
      </c>
      <c r="B2131" t="str">
        <f>"120308200100"</f>
        <v>120308200100</v>
      </c>
      <c r="C2131" t="s">
        <v>714</v>
      </c>
      <c r="D2131" t="s">
        <v>353</v>
      </c>
      <c r="G2131" t="s">
        <v>32</v>
      </c>
      <c r="H2131" t="s">
        <v>44</v>
      </c>
      <c r="I2131" t="s">
        <v>66</v>
      </c>
      <c r="J2131" t="s">
        <v>67</v>
      </c>
      <c r="K2131" t="s">
        <v>68</v>
      </c>
      <c r="L2131" t="s">
        <v>63</v>
      </c>
      <c r="M2131" s="1">
        <v>37106</v>
      </c>
      <c r="N2131">
        <v>2001</v>
      </c>
    </row>
    <row r="2132" spans="1:14">
      <c r="A2132" t="s">
        <v>14</v>
      </c>
      <c r="B2132" t="str">
        <f>"121203200100"</f>
        <v>121203200100</v>
      </c>
      <c r="C2132" t="s">
        <v>1013</v>
      </c>
      <c r="D2132" t="s">
        <v>279</v>
      </c>
      <c r="G2132" t="s">
        <v>32</v>
      </c>
      <c r="H2132" t="s">
        <v>44</v>
      </c>
      <c r="I2132" t="s">
        <v>66</v>
      </c>
      <c r="J2132" t="s">
        <v>67</v>
      </c>
      <c r="K2132" t="s">
        <v>68</v>
      </c>
      <c r="L2132" t="s">
        <v>22</v>
      </c>
      <c r="M2132" s="1">
        <v>36962</v>
      </c>
      <c r="N2132">
        <v>2001</v>
      </c>
    </row>
    <row r="2133" spans="1:14">
      <c r="A2133" t="s">
        <v>14</v>
      </c>
      <c r="B2133" t="str">
        <f>"120709200100"</f>
        <v>120709200100</v>
      </c>
      <c r="C2133" t="s">
        <v>1303</v>
      </c>
      <c r="D2133" t="s">
        <v>1304</v>
      </c>
      <c r="G2133" t="s">
        <v>32</v>
      </c>
      <c r="H2133" t="s">
        <v>44</v>
      </c>
      <c r="I2133" t="s">
        <v>66</v>
      </c>
      <c r="J2133" t="s">
        <v>67</v>
      </c>
      <c r="K2133" t="s">
        <v>767</v>
      </c>
      <c r="L2133" t="s">
        <v>48</v>
      </c>
      <c r="M2133" s="1">
        <v>37141</v>
      </c>
      <c r="N2133">
        <v>2001</v>
      </c>
    </row>
    <row r="2134" spans="1:14">
      <c r="A2134" t="s">
        <v>14</v>
      </c>
      <c r="B2134" t="str">
        <f>"120910199902"</f>
        <v>120910199902</v>
      </c>
      <c r="C2134" t="s">
        <v>1458</v>
      </c>
      <c r="D2134" t="s">
        <v>510</v>
      </c>
      <c r="G2134" t="s">
        <v>32</v>
      </c>
      <c r="H2134" t="s">
        <v>44</v>
      </c>
      <c r="I2134" t="s">
        <v>66</v>
      </c>
      <c r="J2134" t="s">
        <v>67</v>
      </c>
      <c r="K2134" t="s">
        <v>436</v>
      </c>
      <c r="L2134" t="s">
        <v>48</v>
      </c>
      <c r="M2134" s="1">
        <v>36442</v>
      </c>
      <c r="N2134">
        <v>1999</v>
      </c>
    </row>
    <row r="2135" spans="1:14">
      <c r="A2135" t="s">
        <v>14</v>
      </c>
      <c r="B2135" t="str">
        <f>"120909200000"</f>
        <v>120909200000</v>
      </c>
      <c r="C2135" t="s">
        <v>2024</v>
      </c>
      <c r="D2135" t="s">
        <v>64</v>
      </c>
      <c r="G2135" t="s">
        <v>32</v>
      </c>
      <c r="H2135" t="s">
        <v>44</v>
      </c>
      <c r="I2135" t="s">
        <v>66</v>
      </c>
      <c r="J2135" t="s">
        <v>67</v>
      </c>
      <c r="K2135" t="s">
        <v>767</v>
      </c>
      <c r="L2135" t="s">
        <v>63</v>
      </c>
      <c r="M2135" s="1">
        <v>36778</v>
      </c>
      <c r="N2135">
        <v>2000</v>
      </c>
    </row>
    <row r="2136" spans="1:14">
      <c r="A2136" t="s">
        <v>14</v>
      </c>
      <c r="B2136" t="str">
        <f>"120107200100"</f>
        <v>120107200100</v>
      </c>
      <c r="C2136" t="s">
        <v>2070</v>
      </c>
      <c r="D2136" t="s">
        <v>64</v>
      </c>
      <c r="G2136" t="s">
        <v>32</v>
      </c>
      <c r="H2136" t="s">
        <v>44</v>
      </c>
      <c r="I2136" t="s">
        <v>66</v>
      </c>
      <c r="J2136" t="s">
        <v>67</v>
      </c>
      <c r="K2136" t="s">
        <v>68</v>
      </c>
      <c r="L2136" t="s">
        <v>63</v>
      </c>
      <c r="M2136" s="1">
        <v>37073</v>
      </c>
      <c r="N2136">
        <v>2001</v>
      </c>
    </row>
    <row r="2137" spans="1:14">
      <c r="A2137" t="s">
        <v>14</v>
      </c>
      <c r="B2137" t="str">
        <f>"122407199902"</f>
        <v>122407199902</v>
      </c>
      <c r="C2137" t="s">
        <v>2075</v>
      </c>
      <c r="D2137" t="s">
        <v>238</v>
      </c>
      <c r="G2137" t="s">
        <v>32</v>
      </c>
      <c r="H2137" t="s">
        <v>44</v>
      </c>
      <c r="I2137" t="s">
        <v>66</v>
      </c>
      <c r="J2137" t="s">
        <v>67</v>
      </c>
      <c r="K2137" t="s">
        <v>767</v>
      </c>
      <c r="L2137" t="s">
        <v>63</v>
      </c>
      <c r="M2137" s="1">
        <v>36365</v>
      </c>
      <c r="N2137">
        <v>1999</v>
      </c>
    </row>
    <row r="2138" spans="1:14">
      <c r="A2138" t="s">
        <v>14</v>
      </c>
      <c r="B2138" t="str">
        <f>"121207199900"</f>
        <v>121207199900</v>
      </c>
      <c r="C2138" t="s">
        <v>2378</v>
      </c>
      <c r="D2138" t="s">
        <v>233</v>
      </c>
      <c r="G2138" t="s">
        <v>32</v>
      </c>
      <c r="H2138" t="s">
        <v>44</v>
      </c>
      <c r="I2138" t="s">
        <v>66</v>
      </c>
      <c r="J2138" t="s">
        <v>67</v>
      </c>
      <c r="K2138" t="s">
        <v>436</v>
      </c>
      <c r="L2138" t="s">
        <v>48</v>
      </c>
      <c r="M2138" s="1">
        <v>36353</v>
      </c>
      <c r="N2138">
        <v>1999</v>
      </c>
    </row>
    <row r="2139" spans="1:14">
      <c r="A2139" t="s">
        <v>14</v>
      </c>
      <c r="B2139" t="str">
        <f>"121203199900"</f>
        <v>121203199900</v>
      </c>
      <c r="C2139" t="s">
        <v>2565</v>
      </c>
      <c r="D2139" t="s">
        <v>152</v>
      </c>
      <c r="G2139" t="s">
        <v>32</v>
      </c>
      <c r="H2139" t="s">
        <v>44</v>
      </c>
      <c r="I2139" t="s">
        <v>66</v>
      </c>
      <c r="J2139" t="s">
        <v>67</v>
      </c>
      <c r="K2139" t="s">
        <v>436</v>
      </c>
      <c r="L2139" t="s">
        <v>48</v>
      </c>
      <c r="M2139" s="1">
        <v>36231</v>
      </c>
      <c r="N2139">
        <v>1999</v>
      </c>
    </row>
    <row r="2140" spans="1:14">
      <c r="A2140" t="s">
        <v>14</v>
      </c>
      <c r="B2140" t="str">
        <f>"121601200100"</f>
        <v>121601200100</v>
      </c>
      <c r="C2140" t="s">
        <v>2709</v>
      </c>
      <c r="D2140" t="s">
        <v>184</v>
      </c>
      <c r="G2140" t="s">
        <v>32</v>
      </c>
      <c r="H2140" t="s">
        <v>44</v>
      </c>
      <c r="I2140" t="s">
        <v>66</v>
      </c>
      <c r="J2140" t="s">
        <v>67</v>
      </c>
      <c r="K2140" t="s">
        <v>245</v>
      </c>
      <c r="L2140" t="s">
        <v>63</v>
      </c>
      <c r="M2140" s="1">
        <v>36907</v>
      </c>
      <c r="N2140">
        <v>2001</v>
      </c>
    </row>
    <row r="2141" spans="1:14">
      <c r="A2141" t="s">
        <v>14</v>
      </c>
      <c r="B2141" t="str">
        <f>"120903200100"</f>
        <v>120903200100</v>
      </c>
      <c r="C2141" t="s">
        <v>2805</v>
      </c>
      <c r="D2141" t="s">
        <v>233</v>
      </c>
      <c r="G2141" t="s">
        <v>32</v>
      </c>
      <c r="H2141" t="s">
        <v>44</v>
      </c>
      <c r="I2141" t="s">
        <v>66</v>
      </c>
      <c r="J2141" t="s">
        <v>67</v>
      </c>
      <c r="K2141" t="s">
        <v>68</v>
      </c>
      <c r="L2141" t="s">
        <v>48</v>
      </c>
      <c r="M2141" s="1">
        <v>36959</v>
      </c>
      <c r="N2141">
        <v>2001</v>
      </c>
    </row>
    <row r="2142" spans="1:14">
      <c r="A2142" t="s">
        <v>14</v>
      </c>
      <c r="B2142" t="str">
        <f>"120602200000"</f>
        <v>120602200000</v>
      </c>
      <c r="C2142" t="s">
        <v>2879</v>
      </c>
      <c r="D2142" t="s">
        <v>205</v>
      </c>
      <c r="G2142" t="s">
        <v>32</v>
      </c>
      <c r="H2142" t="s">
        <v>44</v>
      </c>
      <c r="I2142" t="s">
        <v>66</v>
      </c>
      <c r="J2142" t="s">
        <v>67</v>
      </c>
      <c r="K2142" t="s">
        <v>767</v>
      </c>
      <c r="L2142" t="s">
        <v>48</v>
      </c>
      <c r="M2142" s="1">
        <v>36562</v>
      </c>
      <c r="N2142">
        <v>2000</v>
      </c>
    </row>
    <row r="2143" spans="1:14">
      <c r="A2143" t="s">
        <v>14</v>
      </c>
      <c r="B2143" t="str">
        <f>"111302198800"</f>
        <v>111302198800</v>
      </c>
      <c r="C2143" t="s">
        <v>766</v>
      </c>
      <c r="D2143" t="s">
        <v>16</v>
      </c>
      <c r="G2143" t="s">
        <v>17</v>
      </c>
      <c r="H2143" t="s">
        <v>25</v>
      </c>
      <c r="I2143" t="s">
        <v>66</v>
      </c>
      <c r="J2143" t="s">
        <v>67</v>
      </c>
      <c r="K2143" t="s">
        <v>767</v>
      </c>
      <c r="L2143" t="s">
        <v>340</v>
      </c>
      <c r="M2143" s="1">
        <v>32186</v>
      </c>
      <c r="N2143">
        <v>1988</v>
      </c>
    </row>
    <row r="2144" spans="1:14">
      <c r="A2144" t="s">
        <v>14</v>
      </c>
      <c r="B2144" t="str">
        <f>"112901199700"</f>
        <v>112901199700</v>
      </c>
      <c r="C2144" t="s">
        <v>935</v>
      </c>
      <c r="D2144" t="s">
        <v>50</v>
      </c>
      <c r="G2144" t="s">
        <v>17</v>
      </c>
      <c r="H2144" t="s">
        <v>25</v>
      </c>
      <c r="I2144" t="s">
        <v>66</v>
      </c>
      <c r="J2144" t="s">
        <v>67</v>
      </c>
      <c r="K2144" t="s">
        <v>436</v>
      </c>
      <c r="L2144" t="s">
        <v>48</v>
      </c>
      <c r="M2144" s="1">
        <v>35459</v>
      </c>
      <c r="N2144">
        <v>1997</v>
      </c>
    </row>
    <row r="2145" spans="1:14">
      <c r="A2145" t="s">
        <v>14</v>
      </c>
      <c r="B2145" t="str">
        <f>"112006199500"</f>
        <v>112006199500</v>
      </c>
      <c r="C2145" t="s">
        <v>1223</v>
      </c>
      <c r="D2145" t="s">
        <v>16</v>
      </c>
      <c r="G2145" t="s">
        <v>17</v>
      </c>
      <c r="H2145" t="s">
        <v>25</v>
      </c>
      <c r="I2145" t="s">
        <v>66</v>
      </c>
      <c r="J2145" t="s">
        <v>67</v>
      </c>
      <c r="K2145" t="s">
        <v>767</v>
      </c>
      <c r="L2145" t="s">
        <v>48</v>
      </c>
      <c r="M2145" s="1">
        <v>34870</v>
      </c>
      <c r="N2145">
        <v>1995</v>
      </c>
    </row>
    <row r="2146" spans="1:14">
      <c r="A2146" t="s">
        <v>14</v>
      </c>
      <c r="B2146" t="str">
        <f>"111010199800"</f>
        <v>111010199800</v>
      </c>
      <c r="C2146" t="s">
        <v>1257</v>
      </c>
      <c r="D2146" t="s">
        <v>292</v>
      </c>
      <c r="G2146" t="s">
        <v>17</v>
      </c>
      <c r="H2146" t="s">
        <v>25</v>
      </c>
      <c r="I2146" t="s">
        <v>66</v>
      </c>
      <c r="J2146" t="s">
        <v>67</v>
      </c>
      <c r="K2146" t="s">
        <v>767</v>
      </c>
      <c r="L2146" t="s">
        <v>48</v>
      </c>
      <c r="M2146" s="1">
        <v>36078</v>
      </c>
      <c r="N2146">
        <v>1998</v>
      </c>
    </row>
    <row r="2147" spans="1:14">
      <c r="A2147" t="s">
        <v>14</v>
      </c>
      <c r="B2147" t="str">
        <f>"113101199200"</f>
        <v>113101199200</v>
      </c>
      <c r="C2147" t="s">
        <v>1676</v>
      </c>
      <c r="D2147" t="s">
        <v>209</v>
      </c>
      <c r="G2147" t="s">
        <v>17</v>
      </c>
      <c r="H2147" t="s">
        <v>25</v>
      </c>
      <c r="I2147" t="s">
        <v>66</v>
      </c>
      <c r="J2147" t="s">
        <v>67</v>
      </c>
      <c r="K2147" t="s">
        <v>371</v>
      </c>
      <c r="L2147" t="s">
        <v>340</v>
      </c>
      <c r="M2147" s="1">
        <v>33634</v>
      </c>
      <c r="N2147">
        <v>1992</v>
      </c>
    </row>
    <row r="2148" spans="1:14">
      <c r="A2148" t="s">
        <v>14</v>
      </c>
      <c r="B2148" t="str">
        <f>"112506199700"</f>
        <v>112506199700</v>
      </c>
      <c r="C2148" t="s">
        <v>1747</v>
      </c>
      <c r="D2148" t="s">
        <v>917</v>
      </c>
      <c r="G2148" t="s">
        <v>17</v>
      </c>
      <c r="H2148" t="s">
        <v>25</v>
      </c>
      <c r="I2148" t="s">
        <v>66</v>
      </c>
      <c r="J2148" t="s">
        <v>67</v>
      </c>
      <c r="K2148" t="s">
        <v>436</v>
      </c>
      <c r="L2148" t="s">
        <v>48</v>
      </c>
      <c r="M2148" s="1">
        <v>35606</v>
      </c>
      <c r="N2148">
        <v>1997</v>
      </c>
    </row>
    <row r="2149" spans="1:14">
      <c r="A2149" t="s">
        <v>14</v>
      </c>
      <c r="B2149" t="str">
        <f>"110201199800"</f>
        <v>110201199800</v>
      </c>
      <c r="C2149" t="s">
        <v>1816</v>
      </c>
      <c r="D2149" t="s">
        <v>209</v>
      </c>
      <c r="G2149" t="s">
        <v>17</v>
      </c>
      <c r="H2149" t="s">
        <v>25</v>
      </c>
      <c r="I2149" t="s">
        <v>66</v>
      </c>
      <c r="J2149" t="s">
        <v>67</v>
      </c>
      <c r="K2149" t="s">
        <v>1135</v>
      </c>
      <c r="L2149" t="s">
        <v>48</v>
      </c>
      <c r="M2149" s="1">
        <v>35797</v>
      </c>
      <c r="N2149">
        <v>1998</v>
      </c>
    </row>
    <row r="2150" spans="1:14">
      <c r="A2150" t="s">
        <v>14</v>
      </c>
      <c r="B2150" t="str">
        <f>"110501199601"</f>
        <v>110501199601</v>
      </c>
      <c r="C2150" t="s">
        <v>1948</v>
      </c>
      <c r="D2150" t="s">
        <v>209</v>
      </c>
      <c r="G2150" t="s">
        <v>17</v>
      </c>
      <c r="H2150" t="s">
        <v>25</v>
      </c>
      <c r="I2150" t="s">
        <v>66</v>
      </c>
      <c r="J2150" t="s">
        <v>67</v>
      </c>
      <c r="K2150" t="s">
        <v>436</v>
      </c>
      <c r="L2150" t="s">
        <v>48</v>
      </c>
      <c r="M2150" s="1">
        <v>35069</v>
      </c>
      <c r="N2150">
        <v>1996</v>
      </c>
    </row>
    <row r="2151" spans="1:14">
      <c r="A2151" t="s">
        <v>14</v>
      </c>
      <c r="B2151" t="str">
        <f>"112207199800"</f>
        <v>112207199800</v>
      </c>
      <c r="C2151" t="s">
        <v>2004</v>
      </c>
      <c r="D2151" t="s">
        <v>221</v>
      </c>
      <c r="G2151" t="s">
        <v>17</v>
      </c>
      <c r="H2151" t="s">
        <v>25</v>
      </c>
      <c r="I2151" t="s">
        <v>66</v>
      </c>
      <c r="J2151" t="s">
        <v>67</v>
      </c>
      <c r="K2151" t="s">
        <v>436</v>
      </c>
      <c r="L2151" t="s">
        <v>48</v>
      </c>
      <c r="M2151" s="1">
        <v>35998</v>
      </c>
      <c r="N2151">
        <v>1998</v>
      </c>
    </row>
    <row r="2152" spans="1:14">
      <c r="A2152" t="s">
        <v>14</v>
      </c>
      <c r="B2152" t="str">
        <f>"110106199800"</f>
        <v>110106199800</v>
      </c>
      <c r="C2152" t="s">
        <v>2079</v>
      </c>
      <c r="D2152" t="s">
        <v>728</v>
      </c>
      <c r="G2152" t="s">
        <v>17</v>
      </c>
      <c r="H2152" t="s">
        <v>25</v>
      </c>
      <c r="I2152" t="s">
        <v>66</v>
      </c>
      <c r="J2152" t="s">
        <v>67</v>
      </c>
      <c r="K2152" t="s">
        <v>1135</v>
      </c>
      <c r="L2152" t="s">
        <v>48</v>
      </c>
      <c r="M2152" s="1">
        <v>35947</v>
      </c>
      <c r="N2152">
        <v>1998</v>
      </c>
    </row>
    <row r="2153" spans="1:14">
      <c r="A2153" t="s">
        <v>14</v>
      </c>
      <c r="B2153" t="str">
        <f>"110807199400"</f>
        <v>110807199400</v>
      </c>
      <c r="C2153" t="s">
        <v>2122</v>
      </c>
      <c r="D2153" t="s">
        <v>53</v>
      </c>
      <c r="G2153" t="s">
        <v>17</v>
      </c>
      <c r="H2153" t="s">
        <v>25</v>
      </c>
      <c r="I2153" t="s">
        <v>66</v>
      </c>
      <c r="J2153" t="s">
        <v>67</v>
      </c>
      <c r="K2153" t="s">
        <v>436</v>
      </c>
      <c r="L2153" t="s">
        <v>48</v>
      </c>
      <c r="M2153" s="1">
        <v>34523</v>
      </c>
      <c r="N2153">
        <v>1994</v>
      </c>
    </row>
    <row r="2154" spans="1:14">
      <c r="A2154" t="s">
        <v>14</v>
      </c>
      <c r="B2154" t="str">
        <f>"111406199600"</f>
        <v>111406199600</v>
      </c>
      <c r="C2154" t="s">
        <v>2854</v>
      </c>
      <c r="D2154" t="s">
        <v>113</v>
      </c>
      <c r="G2154" t="s">
        <v>17</v>
      </c>
      <c r="H2154" t="s">
        <v>25</v>
      </c>
      <c r="I2154" t="s">
        <v>66</v>
      </c>
      <c r="J2154" t="s">
        <v>67</v>
      </c>
      <c r="K2154" t="s">
        <v>436</v>
      </c>
      <c r="L2154" t="s">
        <v>48</v>
      </c>
      <c r="M2154" s="1">
        <v>35230</v>
      </c>
      <c r="N2154">
        <v>1996</v>
      </c>
    </row>
    <row r="2155" spans="1:14">
      <c r="A2155" t="s">
        <v>14</v>
      </c>
      <c r="B2155" t="str">
        <f>"112301200000"</f>
        <v>112301200000</v>
      </c>
      <c r="C2155" t="s">
        <v>369</v>
      </c>
      <c r="D2155" t="s">
        <v>370</v>
      </c>
      <c r="G2155" t="s">
        <v>17</v>
      </c>
      <c r="H2155" t="s">
        <v>18</v>
      </c>
      <c r="I2155" t="s">
        <v>66</v>
      </c>
      <c r="J2155" t="s">
        <v>67</v>
      </c>
      <c r="K2155" t="s">
        <v>371</v>
      </c>
      <c r="L2155" t="s">
        <v>48</v>
      </c>
      <c r="M2155" s="1">
        <v>36548</v>
      </c>
      <c r="N2155">
        <v>2000</v>
      </c>
    </row>
    <row r="2156" spans="1:14">
      <c r="A2156" t="s">
        <v>14</v>
      </c>
      <c r="B2156" t="str">
        <f>"112804199901"</f>
        <v>112804199901</v>
      </c>
      <c r="C2156" t="s">
        <v>738</v>
      </c>
      <c r="D2156" t="s">
        <v>373</v>
      </c>
      <c r="G2156" t="s">
        <v>17</v>
      </c>
      <c r="H2156" t="s">
        <v>18</v>
      </c>
      <c r="I2156" t="s">
        <v>66</v>
      </c>
      <c r="J2156" t="s">
        <v>67</v>
      </c>
      <c r="K2156" t="s">
        <v>371</v>
      </c>
      <c r="L2156" t="s">
        <v>48</v>
      </c>
      <c r="M2156" s="1">
        <v>36278</v>
      </c>
      <c r="N2156">
        <v>1999</v>
      </c>
    </row>
    <row r="2157" spans="1:14">
      <c r="A2157" t="s">
        <v>14</v>
      </c>
      <c r="B2157" t="str">
        <f>"110607200100"</f>
        <v>110607200100</v>
      </c>
      <c r="C2157" t="s">
        <v>1278</v>
      </c>
      <c r="D2157" t="s">
        <v>209</v>
      </c>
      <c r="G2157" t="s">
        <v>17</v>
      </c>
      <c r="H2157" t="s">
        <v>18</v>
      </c>
      <c r="I2157" t="s">
        <v>66</v>
      </c>
      <c r="J2157" t="s">
        <v>67</v>
      </c>
      <c r="K2157" t="s">
        <v>68</v>
      </c>
      <c r="L2157" t="s">
        <v>63</v>
      </c>
      <c r="M2157" s="1">
        <v>37078</v>
      </c>
      <c r="N2157">
        <v>2001</v>
      </c>
    </row>
    <row r="2158" spans="1:14">
      <c r="A2158" t="s">
        <v>14</v>
      </c>
      <c r="B2158" t="str">
        <f>"110307200100"</f>
        <v>110307200100</v>
      </c>
      <c r="C2158" t="s">
        <v>1810</v>
      </c>
      <c r="D2158" t="s">
        <v>100</v>
      </c>
      <c r="G2158" t="s">
        <v>17</v>
      </c>
      <c r="H2158" t="s">
        <v>18</v>
      </c>
      <c r="I2158" t="s">
        <v>66</v>
      </c>
      <c r="J2158" t="s">
        <v>67</v>
      </c>
      <c r="K2158" t="s">
        <v>68</v>
      </c>
      <c r="L2158" t="s">
        <v>63</v>
      </c>
      <c r="M2158" s="1">
        <v>37075</v>
      </c>
      <c r="N2158">
        <v>2001</v>
      </c>
    </row>
    <row r="2159" spans="1:14">
      <c r="A2159" t="s">
        <v>14</v>
      </c>
      <c r="B2159" t="str">
        <f>"112704199900"</f>
        <v>112704199900</v>
      </c>
      <c r="C2159" t="s">
        <v>2026</v>
      </c>
      <c r="D2159" t="s">
        <v>115</v>
      </c>
      <c r="G2159" t="s">
        <v>17</v>
      </c>
      <c r="H2159" t="s">
        <v>18</v>
      </c>
      <c r="I2159" t="s">
        <v>66</v>
      </c>
      <c r="J2159" t="s">
        <v>67</v>
      </c>
      <c r="K2159" t="s">
        <v>371</v>
      </c>
      <c r="L2159" t="s">
        <v>48</v>
      </c>
      <c r="M2159" s="1">
        <v>36277</v>
      </c>
      <c r="N2159">
        <v>1999</v>
      </c>
    </row>
    <row r="2160" spans="1:14">
      <c r="A2160" t="s">
        <v>14</v>
      </c>
      <c r="B2160" t="str">
        <f>"110203200002"</f>
        <v>110203200002</v>
      </c>
      <c r="C2160" t="s">
        <v>2230</v>
      </c>
      <c r="D2160" t="s">
        <v>120</v>
      </c>
      <c r="G2160" t="s">
        <v>17</v>
      </c>
      <c r="H2160" t="s">
        <v>18</v>
      </c>
      <c r="I2160" t="s">
        <v>66</v>
      </c>
      <c r="J2160" t="s">
        <v>67</v>
      </c>
      <c r="K2160" t="s">
        <v>371</v>
      </c>
      <c r="L2160" t="s">
        <v>48</v>
      </c>
      <c r="M2160" s="1">
        <v>36587</v>
      </c>
      <c r="N2160">
        <v>2000</v>
      </c>
    </row>
    <row r="2161" spans="1:14">
      <c r="A2161" t="s">
        <v>14</v>
      </c>
      <c r="B2161" t="str">
        <f>"110510200000"</f>
        <v>110510200000</v>
      </c>
      <c r="C2161" t="s">
        <v>2427</v>
      </c>
      <c r="D2161" t="s">
        <v>98</v>
      </c>
      <c r="G2161" t="s">
        <v>17</v>
      </c>
      <c r="H2161" t="s">
        <v>18</v>
      </c>
      <c r="I2161" t="s">
        <v>66</v>
      </c>
      <c r="J2161" t="s">
        <v>67</v>
      </c>
      <c r="K2161" t="s">
        <v>767</v>
      </c>
      <c r="L2161" t="s">
        <v>63</v>
      </c>
      <c r="M2161" s="1">
        <v>36804</v>
      </c>
      <c r="N2161">
        <v>2000</v>
      </c>
    </row>
    <row r="2162" spans="1:14">
      <c r="A2162" t="s">
        <v>14</v>
      </c>
      <c r="B2162" t="str">
        <f>"112408199900"</f>
        <v>112408199900</v>
      </c>
      <c r="C2162" t="s">
        <v>2519</v>
      </c>
      <c r="D2162" t="s">
        <v>268</v>
      </c>
      <c r="G2162" t="s">
        <v>17</v>
      </c>
      <c r="H2162" t="s">
        <v>18</v>
      </c>
      <c r="I2162" t="s">
        <v>66</v>
      </c>
      <c r="J2162" t="s">
        <v>67</v>
      </c>
      <c r="K2162" t="s">
        <v>371</v>
      </c>
      <c r="L2162" t="s">
        <v>48</v>
      </c>
      <c r="M2162" s="1">
        <v>36396</v>
      </c>
      <c r="N2162">
        <v>1999</v>
      </c>
    </row>
    <row r="2163" spans="1:14">
      <c r="A2163" t="s">
        <v>14</v>
      </c>
      <c r="B2163" t="str">
        <f>"112205200400"</f>
        <v>112205200400</v>
      </c>
      <c r="C2163" t="s">
        <v>477</v>
      </c>
      <c r="D2163" t="s">
        <v>89</v>
      </c>
      <c r="G2163" t="s">
        <v>17</v>
      </c>
      <c r="H2163" t="s">
        <v>39</v>
      </c>
      <c r="I2163" t="s">
        <v>66</v>
      </c>
      <c r="J2163" t="s">
        <v>67</v>
      </c>
      <c r="K2163" t="s">
        <v>245</v>
      </c>
      <c r="L2163" t="s">
        <v>22</v>
      </c>
      <c r="M2163" s="1">
        <v>38129</v>
      </c>
      <c r="N2163">
        <v>2004</v>
      </c>
    </row>
    <row r="2164" spans="1:14">
      <c r="A2164" t="s">
        <v>14</v>
      </c>
      <c r="B2164" t="str">
        <f>"111411200403"</f>
        <v>111411200403</v>
      </c>
      <c r="C2164" t="s">
        <v>709</v>
      </c>
      <c r="D2164" t="s">
        <v>268</v>
      </c>
      <c r="G2164" t="s">
        <v>17</v>
      </c>
      <c r="H2164" t="s">
        <v>39</v>
      </c>
      <c r="I2164" t="s">
        <v>66</v>
      </c>
      <c r="J2164" t="s">
        <v>67</v>
      </c>
      <c r="K2164" t="s">
        <v>245</v>
      </c>
      <c r="L2164" t="s">
        <v>63</v>
      </c>
      <c r="M2164" s="1">
        <v>38305</v>
      </c>
      <c r="N2164">
        <v>2004</v>
      </c>
    </row>
    <row r="2165" spans="1:14">
      <c r="A2165" t="s">
        <v>14</v>
      </c>
      <c r="B2165" t="str">
        <f>"111003200400"</f>
        <v>111003200400</v>
      </c>
      <c r="C2165" t="s">
        <v>760</v>
      </c>
      <c r="D2165" t="s">
        <v>89</v>
      </c>
      <c r="G2165" t="s">
        <v>17</v>
      </c>
      <c r="H2165" t="s">
        <v>39</v>
      </c>
      <c r="I2165" t="s">
        <v>66</v>
      </c>
      <c r="J2165" t="s">
        <v>67</v>
      </c>
      <c r="K2165" t="s">
        <v>245</v>
      </c>
      <c r="L2165" t="s">
        <v>22</v>
      </c>
      <c r="M2165" s="1">
        <v>38056</v>
      </c>
      <c r="N2165">
        <v>2004</v>
      </c>
    </row>
    <row r="2166" spans="1:14">
      <c r="A2166" t="s">
        <v>14</v>
      </c>
      <c r="B2166" t="str">
        <f>"111606200400"</f>
        <v>111606200400</v>
      </c>
      <c r="C2166" t="s">
        <v>810</v>
      </c>
      <c r="D2166" t="s">
        <v>403</v>
      </c>
      <c r="G2166" t="s">
        <v>17</v>
      </c>
      <c r="H2166" t="s">
        <v>39</v>
      </c>
      <c r="I2166" t="s">
        <v>66</v>
      </c>
      <c r="J2166" t="s">
        <v>67</v>
      </c>
      <c r="K2166" t="s">
        <v>245</v>
      </c>
      <c r="L2166" t="s">
        <v>22</v>
      </c>
      <c r="M2166" s="1">
        <v>38154</v>
      </c>
      <c r="N2166">
        <v>2004</v>
      </c>
    </row>
    <row r="2167" spans="1:14">
      <c r="A2167" t="s">
        <v>14</v>
      </c>
      <c r="B2167" t="str">
        <f>"112805200401"</f>
        <v>112805200401</v>
      </c>
      <c r="C2167" t="s">
        <v>843</v>
      </c>
      <c r="D2167" t="s">
        <v>24</v>
      </c>
      <c r="G2167" t="s">
        <v>17</v>
      </c>
      <c r="H2167" t="s">
        <v>39</v>
      </c>
      <c r="I2167" t="s">
        <v>66</v>
      </c>
      <c r="J2167" t="s">
        <v>67</v>
      </c>
      <c r="K2167" t="s">
        <v>245</v>
      </c>
      <c r="M2167" s="1">
        <v>38135</v>
      </c>
      <c r="N2167">
        <v>2004</v>
      </c>
    </row>
    <row r="2168" spans="1:14">
      <c r="A2168" t="s">
        <v>14</v>
      </c>
      <c r="B2168" t="str">
        <f>"112005200501"</f>
        <v>112005200501</v>
      </c>
      <c r="C2168" t="s">
        <v>856</v>
      </c>
      <c r="D2168" t="s">
        <v>653</v>
      </c>
      <c r="G2168" t="s">
        <v>17</v>
      </c>
      <c r="H2168" t="s">
        <v>39</v>
      </c>
      <c r="I2168" t="s">
        <v>66</v>
      </c>
      <c r="J2168" t="s">
        <v>67</v>
      </c>
      <c r="K2168" t="s">
        <v>245</v>
      </c>
      <c r="L2168" t="s">
        <v>22</v>
      </c>
      <c r="M2168" s="1">
        <v>38492</v>
      </c>
      <c r="N2168">
        <v>2005</v>
      </c>
    </row>
    <row r="2169" spans="1:14">
      <c r="A2169" t="s">
        <v>14</v>
      </c>
      <c r="B2169" t="str">
        <f>"111102200401"</f>
        <v>111102200401</v>
      </c>
      <c r="C2169" t="s">
        <v>879</v>
      </c>
      <c r="D2169" t="s">
        <v>283</v>
      </c>
      <c r="G2169" t="s">
        <v>17</v>
      </c>
      <c r="H2169" t="s">
        <v>39</v>
      </c>
      <c r="I2169" t="s">
        <v>66</v>
      </c>
      <c r="J2169" t="s">
        <v>67</v>
      </c>
      <c r="K2169" t="s">
        <v>245</v>
      </c>
      <c r="L2169" t="s">
        <v>22</v>
      </c>
      <c r="M2169" s="1">
        <v>38028</v>
      </c>
      <c r="N2169">
        <v>2004</v>
      </c>
    </row>
    <row r="2170" spans="1:14">
      <c r="A2170" t="s">
        <v>14</v>
      </c>
      <c r="B2170" t="str">
        <f>"110107200500"</f>
        <v>110107200500</v>
      </c>
      <c r="C2170" t="s">
        <v>1315</v>
      </c>
      <c r="D2170" t="s">
        <v>53</v>
      </c>
      <c r="G2170" t="s">
        <v>17</v>
      </c>
      <c r="H2170" t="s">
        <v>39</v>
      </c>
      <c r="I2170" t="s">
        <v>66</v>
      </c>
      <c r="J2170" t="s">
        <v>67</v>
      </c>
      <c r="K2170" t="s">
        <v>245</v>
      </c>
      <c r="L2170" t="s">
        <v>22</v>
      </c>
      <c r="M2170" s="1">
        <v>38534</v>
      </c>
      <c r="N2170">
        <v>2005</v>
      </c>
    </row>
    <row r="2171" spans="1:14">
      <c r="A2171" t="s">
        <v>14</v>
      </c>
      <c r="B2171" t="str">
        <f>"111604200500"</f>
        <v>111604200500</v>
      </c>
      <c r="C2171" t="s">
        <v>1438</v>
      </c>
      <c r="D2171" t="s">
        <v>115</v>
      </c>
      <c r="G2171" t="s">
        <v>17</v>
      </c>
      <c r="H2171" t="s">
        <v>39</v>
      </c>
      <c r="I2171" t="s">
        <v>66</v>
      </c>
      <c r="J2171" t="s">
        <v>67</v>
      </c>
      <c r="K2171" t="s">
        <v>245</v>
      </c>
      <c r="L2171" t="s">
        <v>22</v>
      </c>
      <c r="M2171" s="1">
        <v>38458</v>
      </c>
      <c r="N2171">
        <v>2005</v>
      </c>
    </row>
    <row r="2172" spans="1:14">
      <c r="A2172" t="s">
        <v>14</v>
      </c>
      <c r="B2172" t="str">
        <f>"111609200401"</f>
        <v>111609200401</v>
      </c>
      <c r="C2172" t="s">
        <v>1760</v>
      </c>
      <c r="D2172" t="s">
        <v>129</v>
      </c>
      <c r="G2172" t="s">
        <v>17</v>
      </c>
      <c r="H2172" t="s">
        <v>39</v>
      </c>
      <c r="I2172" t="s">
        <v>66</v>
      </c>
      <c r="J2172" t="s">
        <v>67</v>
      </c>
      <c r="K2172" t="s">
        <v>245</v>
      </c>
      <c r="L2172" t="s">
        <v>22</v>
      </c>
      <c r="M2172" s="1">
        <v>38246</v>
      </c>
      <c r="N2172">
        <v>2004</v>
      </c>
    </row>
    <row r="2173" spans="1:14">
      <c r="A2173" t="s">
        <v>14</v>
      </c>
      <c r="B2173" t="str">
        <f>"110712200400"</f>
        <v>110712200400</v>
      </c>
      <c r="C2173" t="s">
        <v>1838</v>
      </c>
      <c r="D2173" t="s">
        <v>558</v>
      </c>
      <c r="G2173" t="s">
        <v>17</v>
      </c>
      <c r="H2173" t="s">
        <v>39</v>
      </c>
      <c r="I2173" t="s">
        <v>66</v>
      </c>
      <c r="J2173" t="s">
        <v>67</v>
      </c>
      <c r="K2173" t="s">
        <v>245</v>
      </c>
      <c r="L2173" t="s">
        <v>22</v>
      </c>
      <c r="M2173" s="1">
        <v>38328</v>
      </c>
      <c r="N2173">
        <v>2004</v>
      </c>
    </row>
    <row r="2174" spans="1:14">
      <c r="A2174" t="s">
        <v>14</v>
      </c>
      <c r="B2174" t="str">
        <f>"110409200400"</f>
        <v>110409200400</v>
      </c>
      <c r="C2174" t="s">
        <v>1962</v>
      </c>
      <c r="D2174" t="s">
        <v>535</v>
      </c>
      <c r="G2174" t="s">
        <v>17</v>
      </c>
      <c r="H2174" t="s">
        <v>39</v>
      </c>
      <c r="I2174" t="s">
        <v>66</v>
      </c>
      <c r="J2174" t="s">
        <v>67</v>
      </c>
      <c r="K2174" t="s">
        <v>245</v>
      </c>
      <c r="L2174" t="s">
        <v>22</v>
      </c>
      <c r="M2174" s="1">
        <v>38234</v>
      </c>
      <c r="N2174">
        <v>2004</v>
      </c>
    </row>
    <row r="2175" spans="1:14">
      <c r="A2175" t="s">
        <v>14</v>
      </c>
      <c r="B2175" t="str">
        <f>"111405200402"</f>
        <v>111405200402</v>
      </c>
      <c r="C2175" t="s">
        <v>2156</v>
      </c>
      <c r="D2175" t="s">
        <v>209</v>
      </c>
      <c r="G2175" t="s">
        <v>17</v>
      </c>
      <c r="H2175" t="s">
        <v>39</v>
      </c>
      <c r="I2175" t="s">
        <v>66</v>
      </c>
      <c r="J2175" t="s">
        <v>67</v>
      </c>
      <c r="K2175" t="s">
        <v>245</v>
      </c>
      <c r="L2175" t="s">
        <v>22</v>
      </c>
      <c r="M2175" s="1">
        <v>38121</v>
      </c>
      <c r="N2175">
        <v>2004</v>
      </c>
    </row>
    <row r="2176" spans="1:14">
      <c r="A2176" t="s">
        <v>14</v>
      </c>
      <c r="B2176" t="str">
        <f>"110206200400"</f>
        <v>110206200400</v>
      </c>
      <c r="C2176" t="s">
        <v>2285</v>
      </c>
      <c r="D2176" t="s">
        <v>886</v>
      </c>
      <c r="G2176" t="s">
        <v>17</v>
      </c>
      <c r="H2176" t="s">
        <v>39</v>
      </c>
      <c r="I2176" t="s">
        <v>66</v>
      </c>
      <c r="J2176" t="s">
        <v>67</v>
      </c>
      <c r="K2176" t="s">
        <v>245</v>
      </c>
      <c r="L2176" t="s">
        <v>22</v>
      </c>
      <c r="M2176" s="1">
        <v>38140</v>
      </c>
      <c r="N2176">
        <v>2004</v>
      </c>
    </row>
    <row r="2177" spans="1:14">
      <c r="A2177" t="s">
        <v>14</v>
      </c>
      <c r="B2177" t="str">
        <f>"112112200400"</f>
        <v>112112200400</v>
      </c>
      <c r="C2177" t="s">
        <v>2417</v>
      </c>
      <c r="D2177" t="s">
        <v>283</v>
      </c>
      <c r="G2177" t="s">
        <v>17</v>
      </c>
      <c r="H2177" t="s">
        <v>39</v>
      </c>
      <c r="I2177" t="s">
        <v>66</v>
      </c>
      <c r="J2177" t="s">
        <v>67</v>
      </c>
      <c r="K2177" t="s">
        <v>245</v>
      </c>
      <c r="L2177" t="s">
        <v>22</v>
      </c>
      <c r="M2177" s="1">
        <v>38342</v>
      </c>
      <c r="N2177">
        <v>2004</v>
      </c>
    </row>
    <row r="2178" spans="1:14">
      <c r="A2178" t="s">
        <v>14</v>
      </c>
      <c r="B2178" t="str">
        <f>"111603200400"</f>
        <v>111603200400</v>
      </c>
      <c r="C2178" t="s">
        <v>2562</v>
      </c>
      <c r="D2178" t="s">
        <v>292</v>
      </c>
      <c r="G2178" t="s">
        <v>17</v>
      </c>
      <c r="H2178" t="s">
        <v>39</v>
      </c>
      <c r="I2178" t="s">
        <v>66</v>
      </c>
      <c r="J2178" t="s">
        <v>67</v>
      </c>
      <c r="K2178" t="s">
        <v>245</v>
      </c>
      <c r="M2178" s="1">
        <v>38062</v>
      </c>
      <c r="N2178">
        <v>2004</v>
      </c>
    </row>
    <row r="2179" spans="1:14">
      <c r="A2179" t="s">
        <v>14</v>
      </c>
      <c r="B2179" t="str">
        <f>"112101200201"</f>
        <v>112101200201</v>
      </c>
      <c r="C2179" t="s">
        <v>244</v>
      </c>
      <c r="D2179" t="s">
        <v>221</v>
      </c>
      <c r="G2179" t="s">
        <v>17</v>
      </c>
      <c r="H2179" t="s">
        <v>51</v>
      </c>
      <c r="I2179" t="s">
        <v>66</v>
      </c>
      <c r="J2179" t="s">
        <v>67</v>
      </c>
      <c r="K2179" t="s">
        <v>245</v>
      </c>
      <c r="L2179" t="s">
        <v>63</v>
      </c>
      <c r="M2179" s="1">
        <v>37277</v>
      </c>
      <c r="N2179">
        <v>2002</v>
      </c>
    </row>
    <row r="2180" spans="1:14">
      <c r="A2180" t="s">
        <v>14</v>
      </c>
      <c r="B2180" t="str">
        <f>"113005200301"</f>
        <v>113005200301</v>
      </c>
      <c r="C2180" t="s">
        <v>1259</v>
      </c>
      <c r="D2180" t="s">
        <v>277</v>
      </c>
      <c r="G2180" t="s">
        <v>17</v>
      </c>
      <c r="H2180" t="s">
        <v>51</v>
      </c>
      <c r="I2180" t="s">
        <v>66</v>
      </c>
      <c r="J2180" t="s">
        <v>67</v>
      </c>
      <c r="K2180" t="s">
        <v>245</v>
      </c>
      <c r="L2180" t="s">
        <v>63</v>
      </c>
      <c r="M2180" s="1">
        <v>37771</v>
      </c>
      <c r="N2180">
        <v>2003</v>
      </c>
    </row>
    <row r="2181" spans="1:14">
      <c r="A2181" t="s">
        <v>14</v>
      </c>
      <c r="B2181" t="str">
        <f>"111206200301"</f>
        <v>111206200301</v>
      </c>
      <c r="C2181" t="s">
        <v>1338</v>
      </c>
      <c r="D2181" t="s">
        <v>24</v>
      </c>
      <c r="G2181" t="s">
        <v>17</v>
      </c>
      <c r="H2181" t="s">
        <v>51</v>
      </c>
      <c r="I2181" t="s">
        <v>66</v>
      </c>
      <c r="J2181" t="s">
        <v>67</v>
      </c>
      <c r="K2181" t="s">
        <v>245</v>
      </c>
      <c r="L2181" t="s">
        <v>22</v>
      </c>
      <c r="M2181" s="1">
        <v>37784</v>
      </c>
      <c r="N2181">
        <v>2003</v>
      </c>
    </row>
    <row r="2182" spans="1:14">
      <c r="A2182" t="s">
        <v>14</v>
      </c>
      <c r="B2182" t="str">
        <f>"112809200200"</f>
        <v>112809200200</v>
      </c>
      <c r="C2182" t="s">
        <v>1815</v>
      </c>
      <c r="D2182" t="s">
        <v>100</v>
      </c>
      <c r="G2182" t="s">
        <v>17</v>
      </c>
      <c r="H2182" t="s">
        <v>51</v>
      </c>
      <c r="I2182" t="s">
        <v>66</v>
      </c>
      <c r="J2182" t="s">
        <v>67</v>
      </c>
      <c r="K2182" t="s">
        <v>245</v>
      </c>
      <c r="L2182" t="s">
        <v>63</v>
      </c>
      <c r="M2182" s="1">
        <v>37527</v>
      </c>
      <c r="N2182">
        <v>2002</v>
      </c>
    </row>
    <row r="2183" spans="1:14">
      <c r="A2183" t="s">
        <v>14</v>
      </c>
      <c r="B2183" t="str">
        <f>"112304200300"</f>
        <v>112304200300</v>
      </c>
      <c r="C2183" t="s">
        <v>2112</v>
      </c>
      <c r="D2183" t="s">
        <v>344</v>
      </c>
      <c r="G2183" t="s">
        <v>17</v>
      </c>
      <c r="H2183" t="s">
        <v>51</v>
      </c>
      <c r="I2183" t="s">
        <v>66</v>
      </c>
      <c r="J2183" t="s">
        <v>67</v>
      </c>
      <c r="K2183" t="s">
        <v>68</v>
      </c>
      <c r="L2183" t="s">
        <v>63</v>
      </c>
      <c r="M2183" s="1">
        <v>37734</v>
      </c>
      <c r="N2183">
        <v>2003</v>
      </c>
    </row>
    <row r="2184" spans="1:14">
      <c r="A2184" t="s">
        <v>14</v>
      </c>
      <c r="B2184" t="str">
        <f>"111610200300"</f>
        <v>111610200300</v>
      </c>
      <c r="C2184" t="s">
        <v>2449</v>
      </c>
      <c r="D2184" t="s">
        <v>95</v>
      </c>
      <c r="G2184" t="s">
        <v>17</v>
      </c>
      <c r="H2184" t="s">
        <v>51</v>
      </c>
      <c r="I2184" t="s">
        <v>66</v>
      </c>
      <c r="J2184" t="s">
        <v>67</v>
      </c>
      <c r="K2184" t="s">
        <v>245</v>
      </c>
      <c r="L2184" t="s">
        <v>22</v>
      </c>
      <c r="M2184" s="1">
        <v>37910</v>
      </c>
      <c r="N2184">
        <v>2003</v>
      </c>
    </row>
    <row r="2185" spans="1:14">
      <c r="A2185" t="s">
        <v>14</v>
      </c>
      <c r="B2185" t="str">
        <f>"111209200202"</f>
        <v>111209200202</v>
      </c>
      <c r="C2185" t="s">
        <v>2590</v>
      </c>
      <c r="D2185" t="s">
        <v>287</v>
      </c>
      <c r="G2185" t="s">
        <v>17</v>
      </c>
      <c r="H2185" t="s">
        <v>51</v>
      </c>
      <c r="I2185" t="s">
        <v>66</v>
      </c>
      <c r="J2185" t="s">
        <v>67</v>
      </c>
      <c r="K2185" t="s">
        <v>245</v>
      </c>
      <c r="L2185" t="s">
        <v>63</v>
      </c>
      <c r="M2185" s="1">
        <v>37511</v>
      </c>
      <c r="N2185">
        <v>2002</v>
      </c>
    </row>
    <row r="2186" spans="1:14">
      <c r="A2186" t="s">
        <v>14</v>
      </c>
      <c r="B2186" t="str">
        <f>"112602200200"</f>
        <v>112602200200</v>
      </c>
      <c r="C2186" t="s">
        <v>2607</v>
      </c>
      <c r="D2186" t="s">
        <v>259</v>
      </c>
      <c r="G2186" t="s">
        <v>17</v>
      </c>
      <c r="H2186" t="s">
        <v>51</v>
      </c>
      <c r="I2186" t="s">
        <v>66</v>
      </c>
      <c r="J2186" t="s">
        <v>67</v>
      </c>
      <c r="K2186" t="s">
        <v>68</v>
      </c>
      <c r="L2186" t="s">
        <v>63</v>
      </c>
      <c r="M2186" s="1">
        <v>37313</v>
      </c>
      <c r="N2186">
        <v>2002</v>
      </c>
    </row>
    <row r="2187" spans="1:14">
      <c r="A2187" t="s">
        <v>14</v>
      </c>
      <c r="B2187" t="str">
        <f>"120410199400"</f>
        <v>120410199400</v>
      </c>
      <c r="C2187" t="s">
        <v>1208</v>
      </c>
      <c r="D2187" t="s">
        <v>152</v>
      </c>
      <c r="G2187" t="s">
        <v>32</v>
      </c>
      <c r="H2187" t="s">
        <v>59</v>
      </c>
      <c r="I2187" t="s">
        <v>1210</v>
      </c>
      <c r="J2187" t="s">
        <v>67</v>
      </c>
      <c r="K2187" t="s">
        <v>767</v>
      </c>
      <c r="L2187" t="s">
        <v>48</v>
      </c>
      <c r="M2187" s="1">
        <v>34611</v>
      </c>
      <c r="N2187">
        <v>1994</v>
      </c>
    </row>
    <row r="2188" spans="1:14">
      <c r="A2188" t="s">
        <v>14</v>
      </c>
      <c r="B2188" t="str">
        <f>"120407200402"</f>
        <v>120407200402</v>
      </c>
      <c r="C2188" t="s">
        <v>183</v>
      </c>
      <c r="D2188" t="s">
        <v>188</v>
      </c>
      <c r="G2188" t="s">
        <v>32</v>
      </c>
      <c r="H2188" t="s">
        <v>33</v>
      </c>
      <c r="I2188" t="s">
        <v>189</v>
      </c>
      <c r="J2188" t="s">
        <v>190</v>
      </c>
      <c r="K2188" t="s">
        <v>191</v>
      </c>
      <c r="M2188" s="1">
        <v>38172</v>
      </c>
      <c r="N2188">
        <v>2004</v>
      </c>
    </row>
    <row r="2189" spans="1:14">
      <c r="A2189" t="s">
        <v>14</v>
      </c>
      <c r="B2189" t="str">
        <f>"120401200400"</f>
        <v>120401200400</v>
      </c>
      <c r="C2189" t="s">
        <v>193</v>
      </c>
      <c r="D2189" t="s">
        <v>205</v>
      </c>
      <c r="G2189" t="s">
        <v>32</v>
      </c>
      <c r="H2189" t="s">
        <v>33</v>
      </c>
      <c r="I2189" t="s">
        <v>189</v>
      </c>
      <c r="J2189" t="s">
        <v>190</v>
      </c>
      <c r="K2189" t="s">
        <v>191</v>
      </c>
      <c r="M2189" s="1">
        <v>37990</v>
      </c>
      <c r="N2189">
        <v>2004</v>
      </c>
    </row>
    <row r="2190" spans="1:14">
      <c r="A2190" t="s">
        <v>14</v>
      </c>
      <c r="B2190" t="str">
        <f>"121207200400"</f>
        <v>121207200400</v>
      </c>
      <c r="C2190" t="s">
        <v>658</v>
      </c>
      <c r="D2190" t="s">
        <v>279</v>
      </c>
      <c r="G2190" t="s">
        <v>32</v>
      </c>
      <c r="H2190" t="s">
        <v>33</v>
      </c>
      <c r="I2190" t="s">
        <v>189</v>
      </c>
      <c r="J2190" t="s">
        <v>190</v>
      </c>
      <c r="K2190" t="s">
        <v>191</v>
      </c>
      <c r="M2190" s="1">
        <v>38180</v>
      </c>
      <c r="N2190">
        <v>2004</v>
      </c>
    </row>
    <row r="2191" spans="1:14">
      <c r="A2191" t="s">
        <v>14</v>
      </c>
      <c r="B2191" t="str">
        <f>"122506200400"</f>
        <v>122506200400</v>
      </c>
      <c r="C2191" t="s">
        <v>1130</v>
      </c>
      <c r="D2191" t="s">
        <v>310</v>
      </c>
      <c r="G2191" t="s">
        <v>32</v>
      </c>
      <c r="H2191" t="s">
        <v>33</v>
      </c>
      <c r="I2191" t="s">
        <v>189</v>
      </c>
      <c r="J2191" t="s">
        <v>190</v>
      </c>
      <c r="K2191" t="s">
        <v>191</v>
      </c>
      <c r="L2191" t="s">
        <v>22</v>
      </c>
      <c r="M2191" s="1">
        <v>38163</v>
      </c>
      <c r="N2191">
        <v>2004</v>
      </c>
    </row>
    <row r="2192" spans="1:14">
      <c r="A2192" t="s">
        <v>14</v>
      </c>
      <c r="B2192" t="str">
        <f>"121402200501"</f>
        <v>121402200501</v>
      </c>
      <c r="C2192" t="s">
        <v>1139</v>
      </c>
      <c r="D2192" t="s">
        <v>609</v>
      </c>
      <c r="G2192" t="s">
        <v>32</v>
      </c>
      <c r="H2192" t="s">
        <v>33</v>
      </c>
      <c r="I2192" t="s">
        <v>189</v>
      </c>
      <c r="J2192" t="s">
        <v>190</v>
      </c>
      <c r="K2192" t="s">
        <v>191</v>
      </c>
      <c r="L2192" t="s">
        <v>22</v>
      </c>
      <c r="M2192" s="1">
        <v>38397</v>
      </c>
      <c r="N2192">
        <v>2005</v>
      </c>
    </row>
    <row r="2193" spans="1:14">
      <c r="A2193" t="s">
        <v>14</v>
      </c>
      <c r="B2193" t="str">
        <f>"121712200401"</f>
        <v>121712200401</v>
      </c>
      <c r="C2193" t="s">
        <v>1208</v>
      </c>
      <c r="D2193" t="s">
        <v>31</v>
      </c>
      <c r="G2193" t="s">
        <v>32</v>
      </c>
      <c r="H2193" t="s">
        <v>33</v>
      </c>
      <c r="I2193" t="s">
        <v>189</v>
      </c>
      <c r="J2193" t="s">
        <v>190</v>
      </c>
      <c r="K2193" t="s">
        <v>191</v>
      </c>
      <c r="L2193" t="s">
        <v>22</v>
      </c>
      <c r="M2193" s="1">
        <v>38338</v>
      </c>
      <c r="N2193">
        <v>2004</v>
      </c>
    </row>
    <row r="2194" spans="1:14">
      <c r="A2194" t="s">
        <v>14</v>
      </c>
      <c r="B2194" t="str">
        <f>"121506200400"</f>
        <v>121506200400</v>
      </c>
      <c r="C2194" t="s">
        <v>1460</v>
      </c>
      <c r="D2194" t="s">
        <v>194</v>
      </c>
      <c r="G2194" t="s">
        <v>32</v>
      </c>
      <c r="H2194" t="s">
        <v>33</v>
      </c>
      <c r="I2194" t="s">
        <v>189</v>
      </c>
      <c r="J2194" t="s">
        <v>190</v>
      </c>
      <c r="K2194" t="s">
        <v>191</v>
      </c>
      <c r="L2194" t="s">
        <v>22</v>
      </c>
      <c r="M2194" s="1">
        <v>38153</v>
      </c>
      <c r="N2194">
        <v>2004</v>
      </c>
    </row>
    <row r="2195" spans="1:14">
      <c r="A2195" t="s">
        <v>14</v>
      </c>
      <c r="B2195" t="str">
        <f>"121901200400"</f>
        <v>121901200400</v>
      </c>
      <c r="C2195" t="s">
        <v>1596</v>
      </c>
      <c r="D2195" t="s">
        <v>203</v>
      </c>
      <c r="G2195" t="s">
        <v>32</v>
      </c>
      <c r="H2195" t="s">
        <v>33</v>
      </c>
      <c r="I2195" t="s">
        <v>189</v>
      </c>
      <c r="J2195" t="s">
        <v>190</v>
      </c>
      <c r="K2195" t="s">
        <v>191</v>
      </c>
      <c r="M2195" s="1">
        <v>38005</v>
      </c>
      <c r="N2195">
        <v>2004</v>
      </c>
    </row>
    <row r="2196" spans="1:14">
      <c r="A2196" t="s">
        <v>14</v>
      </c>
      <c r="B2196" t="str">
        <f>"120205200400"</f>
        <v>120205200400</v>
      </c>
      <c r="C2196" t="s">
        <v>1852</v>
      </c>
      <c r="D2196" t="s">
        <v>127</v>
      </c>
      <c r="G2196" t="s">
        <v>32</v>
      </c>
      <c r="H2196" t="s">
        <v>33</v>
      </c>
      <c r="I2196" t="s">
        <v>189</v>
      </c>
      <c r="J2196" t="s">
        <v>190</v>
      </c>
      <c r="K2196" t="s">
        <v>191</v>
      </c>
      <c r="L2196" t="s">
        <v>22</v>
      </c>
      <c r="M2196" s="1">
        <v>38109</v>
      </c>
      <c r="N2196">
        <v>2004</v>
      </c>
    </row>
    <row r="2197" spans="1:14">
      <c r="A2197" t="s">
        <v>14</v>
      </c>
      <c r="B2197" t="str">
        <f>"121503200400"</f>
        <v>121503200400</v>
      </c>
      <c r="C2197" t="s">
        <v>2050</v>
      </c>
      <c r="D2197" t="s">
        <v>235</v>
      </c>
      <c r="G2197" t="s">
        <v>32</v>
      </c>
      <c r="H2197" t="s">
        <v>33</v>
      </c>
      <c r="I2197" t="s">
        <v>189</v>
      </c>
      <c r="J2197" t="s">
        <v>190</v>
      </c>
      <c r="K2197" t="s">
        <v>191</v>
      </c>
      <c r="L2197" t="s">
        <v>22</v>
      </c>
      <c r="M2197" s="1">
        <v>38061</v>
      </c>
      <c r="N2197">
        <v>2004</v>
      </c>
    </row>
    <row r="2198" spans="1:14">
      <c r="A2198" t="s">
        <v>14</v>
      </c>
      <c r="B2198" t="str">
        <f>"121001200400"</f>
        <v>121001200400</v>
      </c>
      <c r="C2198" t="s">
        <v>2116</v>
      </c>
      <c r="D2198" t="s">
        <v>58</v>
      </c>
      <c r="G2198" t="s">
        <v>32</v>
      </c>
      <c r="H2198" t="s">
        <v>33</v>
      </c>
      <c r="I2198" t="s">
        <v>189</v>
      </c>
      <c r="J2198" t="s">
        <v>190</v>
      </c>
      <c r="K2198" t="s">
        <v>191</v>
      </c>
      <c r="L2198" t="s">
        <v>22</v>
      </c>
      <c r="M2198" s="1">
        <v>37996</v>
      </c>
      <c r="N2198">
        <v>2004</v>
      </c>
    </row>
    <row r="2199" spans="1:14">
      <c r="A2199" t="s">
        <v>14</v>
      </c>
      <c r="B2199" t="str">
        <f>"120304200401"</f>
        <v>120304200401</v>
      </c>
      <c r="C2199" t="s">
        <v>2310</v>
      </c>
      <c r="D2199" t="s">
        <v>127</v>
      </c>
      <c r="G2199" t="s">
        <v>32</v>
      </c>
      <c r="H2199" t="s">
        <v>33</v>
      </c>
      <c r="I2199" t="s">
        <v>189</v>
      </c>
      <c r="J2199" t="s">
        <v>190</v>
      </c>
      <c r="K2199" t="s">
        <v>191</v>
      </c>
      <c r="M2199" s="1">
        <v>38080</v>
      </c>
      <c r="N2199">
        <v>2004</v>
      </c>
    </row>
    <row r="2200" spans="1:14">
      <c r="A2200" t="s">
        <v>14</v>
      </c>
      <c r="B2200" t="str">
        <f>"120203200400"</f>
        <v>120203200400</v>
      </c>
      <c r="C2200" t="s">
        <v>2325</v>
      </c>
      <c r="D2200" t="s">
        <v>409</v>
      </c>
      <c r="G2200" t="s">
        <v>32</v>
      </c>
      <c r="H2200" t="s">
        <v>33</v>
      </c>
      <c r="I2200" t="s">
        <v>189</v>
      </c>
      <c r="J2200" t="s">
        <v>190</v>
      </c>
      <c r="K2200" t="s">
        <v>191</v>
      </c>
      <c r="L2200" t="s">
        <v>22</v>
      </c>
      <c r="M2200" s="1">
        <v>38048</v>
      </c>
      <c r="N2200">
        <v>2004</v>
      </c>
    </row>
    <row r="2201" spans="1:14">
      <c r="A2201" t="s">
        <v>14</v>
      </c>
      <c r="B2201" t="str">
        <f>"120504200400"</f>
        <v>120504200400</v>
      </c>
      <c r="C2201" t="s">
        <v>2723</v>
      </c>
      <c r="D2201" t="s">
        <v>2724</v>
      </c>
      <c r="G2201" t="s">
        <v>32</v>
      </c>
      <c r="H2201" t="s">
        <v>33</v>
      </c>
      <c r="I2201" t="s">
        <v>189</v>
      </c>
      <c r="J2201" t="s">
        <v>190</v>
      </c>
      <c r="K2201" t="s">
        <v>191</v>
      </c>
      <c r="L2201" t="s">
        <v>22</v>
      </c>
      <c r="M2201" s="1">
        <v>38082</v>
      </c>
      <c r="N2201">
        <v>2004</v>
      </c>
    </row>
    <row r="2202" spans="1:14">
      <c r="A2202" t="s">
        <v>14</v>
      </c>
      <c r="B2202" t="str">
        <f>"121202200400"</f>
        <v>121202200400</v>
      </c>
      <c r="C2202" t="s">
        <v>2759</v>
      </c>
      <c r="D2202" t="s">
        <v>152</v>
      </c>
      <c r="G2202" t="s">
        <v>32</v>
      </c>
      <c r="H2202" t="s">
        <v>33</v>
      </c>
      <c r="I2202" t="s">
        <v>189</v>
      </c>
      <c r="J2202" t="s">
        <v>190</v>
      </c>
      <c r="K2202" t="s">
        <v>191</v>
      </c>
      <c r="L2202" t="s">
        <v>22</v>
      </c>
      <c r="M2202" s="1">
        <v>38029</v>
      </c>
      <c r="N2202">
        <v>2004</v>
      </c>
    </row>
    <row r="2203" spans="1:14">
      <c r="A2203" t="s">
        <v>14</v>
      </c>
      <c r="B2203" t="str">
        <f>"120210200400"</f>
        <v>120210200400</v>
      </c>
      <c r="C2203" t="s">
        <v>2828</v>
      </c>
      <c r="D2203" t="s">
        <v>184</v>
      </c>
      <c r="G2203" t="s">
        <v>32</v>
      </c>
      <c r="H2203" t="s">
        <v>33</v>
      </c>
      <c r="I2203" t="s">
        <v>189</v>
      </c>
      <c r="J2203" t="s">
        <v>190</v>
      </c>
      <c r="K2203" t="s">
        <v>191</v>
      </c>
      <c r="L2203" t="s">
        <v>22</v>
      </c>
      <c r="M2203" s="1">
        <v>38262</v>
      </c>
      <c r="N2203">
        <v>2004</v>
      </c>
    </row>
    <row r="2204" spans="1:14">
      <c r="A2204" t="s">
        <v>14</v>
      </c>
      <c r="B2204" t="str">
        <f>"122212200400"</f>
        <v>122212200400</v>
      </c>
      <c r="C2204" t="s">
        <v>2843</v>
      </c>
      <c r="D2204" t="s">
        <v>64</v>
      </c>
      <c r="G2204" t="s">
        <v>32</v>
      </c>
      <c r="H2204" t="s">
        <v>33</v>
      </c>
      <c r="I2204" t="s">
        <v>189</v>
      </c>
      <c r="J2204" t="s">
        <v>190</v>
      </c>
      <c r="K2204" t="s">
        <v>191</v>
      </c>
      <c r="L2204" t="s">
        <v>22</v>
      </c>
      <c r="M2204" s="1">
        <v>38343</v>
      </c>
      <c r="N2204">
        <v>2004</v>
      </c>
    </row>
    <row r="2205" spans="1:14">
      <c r="A2205" t="s">
        <v>14</v>
      </c>
      <c r="B2205" t="str">
        <f>"122704200300"</f>
        <v>122704200300</v>
      </c>
      <c r="C2205" t="s">
        <v>271</v>
      </c>
      <c r="D2205" t="s">
        <v>238</v>
      </c>
      <c r="G2205" t="s">
        <v>32</v>
      </c>
      <c r="H2205" t="s">
        <v>65</v>
      </c>
      <c r="I2205" t="s">
        <v>189</v>
      </c>
      <c r="J2205" t="s">
        <v>190</v>
      </c>
      <c r="K2205" t="s">
        <v>272</v>
      </c>
      <c r="L2205" t="s">
        <v>22</v>
      </c>
      <c r="M2205" s="1">
        <v>37738</v>
      </c>
      <c r="N2205">
        <v>2003</v>
      </c>
    </row>
    <row r="2206" spans="1:14">
      <c r="A2206" t="s">
        <v>14</v>
      </c>
      <c r="B2206" t="str">
        <f>"122409200200"</f>
        <v>122409200200</v>
      </c>
      <c r="C2206" t="s">
        <v>364</v>
      </c>
      <c r="D2206" t="s">
        <v>205</v>
      </c>
      <c r="G2206" t="s">
        <v>32</v>
      </c>
      <c r="H2206" t="s">
        <v>65</v>
      </c>
      <c r="I2206" t="s">
        <v>189</v>
      </c>
      <c r="J2206" t="s">
        <v>190</v>
      </c>
      <c r="K2206" t="s">
        <v>272</v>
      </c>
      <c r="L2206" t="s">
        <v>22</v>
      </c>
      <c r="M2206" s="1">
        <v>37523</v>
      </c>
      <c r="N2206">
        <v>2002</v>
      </c>
    </row>
    <row r="2207" spans="1:14">
      <c r="A2207" t="s">
        <v>14</v>
      </c>
      <c r="B2207" t="str">
        <f>"120502200301"</f>
        <v>120502200301</v>
      </c>
      <c r="C2207" t="s">
        <v>479</v>
      </c>
      <c r="D2207" t="s">
        <v>64</v>
      </c>
      <c r="G2207" t="s">
        <v>32</v>
      </c>
      <c r="H2207" t="s">
        <v>65</v>
      </c>
      <c r="I2207" t="s">
        <v>189</v>
      </c>
      <c r="J2207" t="s">
        <v>190</v>
      </c>
      <c r="K2207" t="s">
        <v>191</v>
      </c>
      <c r="M2207" s="1">
        <v>37657</v>
      </c>
      <c r="N2207">
        <v>2003</v>
      </c>
    </row>
    <row r="2208" spans="1:14">
      <c r="A2208" t="s">
        <v>14</v>
      </c>
      <c r="B2208" t="str">
        <f>"120804200300"</f>
        <v>120804200300</v>
      </c>
      <c r="C2208" t="s">
        <v>696</v>
      </c>
      <c r="D2208" t="s">
        <v>611</v>
      </c>
      <c r="G2208" t="s">
        <v>32</v>
      </c>
      <c r="H2208" t="s">
        <v>65</v>
      </c>
      <c r="I2208" t="s">
        <v>189</v>
      </c>
      <c r="J2208" t="s">
        <v>190</v>
      </c>
      <c r="K2208" t="s">
        <v>191</v>
      </c>
      <c r="L2208" t="s">
        <v>22</v>
      </c>
      <c r="M2208" s="1">
        <v>37719</v>
      </c>
      <c r="N2208">
        <v>2003</v>
      </c>
    </row>
    <row r="2209" spans="1:14">
      <c r="A2209" t="s">
        <v>14</v>
      </c>
      <c r="B2209" t="str">
        <f>"120306200200"</f>
        <v>120306200200</v>
      </c>
      <c r="C2209" t="s">
        <v>798</v>
      </c>
      <c r="D2209" t="s">
        <v>143</v>
      </c>
      <c r="G2209" t="s">
        <v>32</v>
      </c>
      <c r="H2209" t="s">
        <v>65</v>
      </c>
      <c r="I2209" t="s">
        <v>189</v>
      </c>
      <c r="J2209" t="s">
        <v>190</v>
      </c>
      <c r="K2209" t="s">
        <v>272</v>
      </c>
      <c r="L2209" t="s">
        <v>63</v>
      </c>
      <c r="M2209" s="1">
        <v>37410</v>
      </c>
      <c r="N2209">
        <v>2002</v>
      </c>
    </row>
    <row r="2210" spans="1:14">
      <c r="A2210" t="s">
        <v>14</v>
      </c>
      <c r="B2210" t="str">
        <f>"123012200300"</f>
        <v>123012200300</v>
      </c>
      <c r="C2210" t="s">
        <v>862</v>
      </c>
      <c r="D2210" t="s">
        <v>421</v>
      </c>
      <c r="G2210" t="s">
        <v>32</v>
      </c>
      <c r="H2210" t="s">
        <v>65</v>
      </c>
      <c r="I2210" t="s">
        <v>189</v>
      </c>
      <c r="J2210" t="s">
        <v>190</v>
      </c>
      <c r="K2210" t="s">
        <v>191</v>
      </c>
      <c r="L2210" t="s">
        <v>22</v>
      </c>
      <c r="M2210" s="1">
        <v>37985</v>
      </c>
      <c r="N2210">
        <v>2003</v>
      </c>
    </row>
    <row r="2211" spans="1:14">
      <c r="A2211" t="s">
        <v>14</v>
      </c>
      <c r="B2211" t="str">
        <f>"120102200200"</f>
        <v>120102200200</v>
      </c>
      <c r="C2211" t="s">
        <v>1157</v>
      </c>
      <c r="D2211" t="s">
        <v>310</v>
      </c>
      <c r="G2211" t="s">
        <v>32</v>
      </c>
      <c r="H2211" t="s">
        <v>65</v>
      </c>
      <c r="I2211" t="s">
        <v>189</v>
      </c>
      <c r="J2211" t="s">
        <v>190</v>
      </c>
      <c r="K2211" t="s">
        <v>272</v>
      </c>
      <c r="L2211" t="s">
        <v>63</v>
      </c>
      <c r="M2211" s="1">
        <v>37288</v>
      </c>
      <c r="N2211">
        <v>2002</v>
      </c>
    </row>
    <row r="2212" spans="1:14">
      <c r="A2212" t="s">
        <v>14</v>
      </c>
      <c r="B2212" t="str">
        <f>"122106200300"</f>
        <v>122106200300</v>
      </c>
      <c r="C2212" t="s">
        <v>1208</v>
      </c>
      <c r="D2212" t="s">
        <v>609</v>
      </c>
      <c r="G2212" t="s">
        <v>32</v>
      </c>
      <c r="H2212" t="s">
        <v>65</v>
      </c>
      <c r="I2212" t="s">
        <v>189</v>
      </c>
      <c r="J2212" t="s">
        <v>190</v>
      </c>
      <c r="K2212" t="s">
        <v>191</v>
      </c>
      <c r="L2212" t="s">
        <v>63</v>
      </c>
      <c r="M2212" s="1">
        <v>37793</v>
      </c>
      <c r="N2212">
        <v>2003</v>
      </c>
    </row>
    <row r="2213" spans="1:14">
      <c r="A2213" t="s">
        <v>14</v>
      </c>
      <c r="B2213" t="str">
        <f>"122508200301"</f>
        <v>122508200301</v>
      </c>
      <c r="C2213" t="s">
        <v>1236</v>
      </c>
      <c r="D2213" t="s">
        <v>194</v>
      </c>
      <c r="G2213" t="s">
        <v>32</v>
      </c>
      <c r="H2213" t="s">
        <v>65</v>
      </c>
      <c r="I2213" t="s">
        <v>189</v>
      </c>
      <c r="J2213" t="s">
        <v>190</v>
      </c>
      <c r="K2213" t="s">
        <v>191</v>
      </c>
      <c r="L2213" t="s">
        <v>22</v>
      </c>
      <c r="M2213" s="1">
        <v>37858</v>
      </c>
      <c r="N2213">
        <v>2003</v>
      </c>
    </row>
    <row r="2214" spans="1:14">
      <c r="A2214" t="s">
        <v>14</v>
      </c>
      <c r="B2214" t="str">
        <f>"123110200201"</f>
        <v>123110200201</v>
      </c>
      <c r="C2214" t="s">
        <v>1559</v>
      </c>
      <c r="D2214" t="s">
        <v>64</v>
      </c>
      <c r="G2214" t="s">
        <v>32</v>
      </c>
      <c r="H2214" t="s">
        <v>65</v>
      </c>
      <c r="I2214" t="s">
        <v>189</v>
      </c>
      <c r="J2214" t="s">
        <v>190</v>
      </c>
      <c r="K2214" t="s">
        <v>272</v>
      </c>
      <c r="L2214" t="s">
        <v>63</v>
      </c>
      <c r="M2214" s="1">
        <v>37560</v>
      </c>
      <c r="N2214">
        <v>2002</v>
      </c>
    </row>
    <row r="2215" spans="1:14">
      <c r="A2215" t="s">
        <v>14</v>
      </c>
      <c r="B2215" t="str">
        <f>"121411200302"</f>
        <v>121411200302</v>
      </c>
      <c r="C2215" t="s">
        <v>1571</v>
      </c>
      <c r="D2215" t="s">
        <v>194</v>
      </c>
      <c r="G2215" t="s">
        <v>32</v>
      </c>
      <c r="H2215" t="s">
        <v>65</v>
      </c>
      <c r="I2215" t="s">
        <v>189</v>
      </c>
      <c r="J2215" t="s">
        <v>190</v>
      </c>
      <c r="K2215" t="s">
        <v>191</v>
      </c>
      <c r="M2215" s="1">
        <v>37939</v>
      </c>
      <c r="N2215">
        <v>2003</v>
      </c>
    </row>
    <row r="2216" spans="1:14">
      <c r="A2216" t="s">
        <v>14</v>
      </c>
      <c r="B2216" t="str">
        <f>"121010200201"</f>
        <v>121010200201</v>
      </c>
      <c r="C2216" t="s">
        <v>1681</v>
      </c>
      <c r="D2216" t="s">
        <v>184</v>
      </c>
      <c r="G2216" t="s">
        <v>32</v>
      </c>
      <c r="H2216" t="s">
        <v>65</v>
      </c>
      <c r="I2216" t="s">
        <v>189</v>
      </c>
      <c r="J2216" t="s">
        <v>190</v>
      </c>
      <c r="K2216" t="s">
        <v>272</v>
      </c>
      <c r="L2216" t="s">
        <v>63</v>
      </c>
      <c r="M2216" s="1">
        <v>37539</v>
      </c>
      <c r="N2216">
        <v>2002</v>
      </c>
    </row>
    <row r="2217" spans="1:14">
      <c r="A2217" t="s">
        <v>14</v>
      </c>
      <c r="B2217" t="str">
        <f>"120909200300"</f>
        <v>120909200300</v>
      </c>
      <c r="C2217" t="s">
        <v>2078</v>
      </c>
      <c r="D2217" t="s">
        <v>64</v>
      </c>
      <c r="G2217" t="s">
        <v>32</v>
      </c>
      <c r="H2217" t="s">
        <v>65</v>
      </c>
      <c r="I2217" t="s">
        <v>189</v>
      </c>
      <c r="J2217" t="s">
        <v>190</v>
      </c>
      <c r="K2217" t="s">
        <v>272</v>
      </c>
      <c r="L2217" t="s">
        <v>63</v>
      </c>
      <c r="M2217" s="1">
        <v>37873</v>
      </c>
      <c r="N2217">
        <v>2003</v>
      </c>
    </row>
    <row r="2218" spans="1:14">
      <c r="A2218" t="s">
        <v>14</v>
      </c>
      <c r="B2218" t="str">
        <f>"122101200200"</f>
        <v>122101200200</v>
      </c>
      <c r="C2218" t="s">
        <v>2141</v>
      </c>
      <c r="D2218" t="s">
        <v>310</v>
      </c>
      <c r="G2218" t="s">
        <v>32</v>
      </c>
      <c r="H2218" t="s">
        <v>65</v>
      </c>
      <c r="I2218" t="s">
        <v>189</v>
      </c>
      <c r="J2218" t="s">
        <v>190</v>
      </c>
      <c r="K2218" t="s">
        <v>272</v>
      </c>
      <c r="L2218" t="s">
        <v>63</v>
      </c>
      <c r="M2218" s="1">
        <v>37277</v>
      </c>
      <c r="N2218">
        <v>2002</v>
      </c>
    </row>
    <row r="2219" spans="1:14">
      <c r="A2219" t="s">
        <v>14</v>
      </c>
      <c r="B2219" t="str">
        <f>"121901200202"</f>
        <v>121901200202</v>
      </c>
      <c r="C2219" t="s">
        <v>2302</v>
      </c>
      <c r="D2219" t="s">
        <v>680</v>
      </c>
      <c r="G2219" t="s">
        <v>32</v>
      </c>
      <c r="H2219" t="s">
        <v>65</v>
      </c>
      <c r="I2219" t="s">
        <v>189</v>
      </c>
      <c r="J2219" t="s">
        <v>190</v>
      </c>
      <c r="K2219" t="s">
        <v>191</v>
      </c>
      <c r="L2219" t="s">
        <v>22</v>
      </c>
      <c r="M2219" s="1">
        <v>37275</v>
      </c>
      <c r="N2219">
        <v>2002</v>
      </c>
    </row>
    <row r="2220" spans="1:14">
      <c r="A2220" t="s">
        <v>14</v>
      </c>
      <c r="B2220" t="str">
        <f>"121006200302"</f>
        <v>121006200302</v>
      </c>
      <c r="C2220" t="s">
        <v>2310</v>
      </c>
      <c r="D2220" t="s">
        <v>205</v>
      </c>
      <c r="G2220" t="s">
        <v>32</v>
      </c>
      <c r="H2220" t="s">
        <v>65</v>
      </c>
      <c r="I2220" t="s">
        <v>189</v>
      </c>
      <c r="J2220" t="s">
        <v>190</v>
      </c>
      <c r="K2220" t="s">
        <v>191</v>
      </c>
      <c r="M2220" s="1">
        <v>37782</v>
      </c>
      <c r="N2220">
        <v>2003</v>
      </c>
    </row>
    <row r="2221" spans="1:14">
      <c r="A2221" t="s">
        <v>14</v>
      </c>
      <c r="B2221" t="str">
        <f>"120507200201"</f>
        <v>120507200201</v>
      </c>
      <c r="C2221" t="s">
        <v>2346</v>
      </c>
      <c r="D2221" t="s">
        <v>203</v>
      </c>
      <c r="G2221" t="s">
        <v>32</v>
      </c>
      <c r="H2221" t="s">
        <v>65</v>
      </c>
      <c r="I2221" t="s">
        <v>189</v>
      </c>
      <c r="J2221" t="s">
        <v>190</v>
      </c>
      <c r="K2221" t="s">
        <v>272</v>
      </c>
      <c r="L2221" t="s">
        <v>63</v>
      </c>
      <c r="M2221" s="1">
        <v>37442</v>
      </c>
      <c r="N2221">
        <v>2002</v>
      </c>
    </row>
    <row r="2222" spans="1:14">
      <c r="A2222" t="s">
        <v>14</v>
      </c>
      <c r="B2222" t="str">
        <f>"122603200200"</f>
        <v>122603200200</v>
      </c>
      <c r="C2222" t="s">
        <v>2398</v>
      </c>
      <c r="D2222" t="s">
        <v>232</v>
      </c>
      <c r="G2222" t="s">
        <v>32</v>
      </c>
      <c r="H2222" t="s">
        <v>65</v>
      </c>
      <c r="I2222" t="s">
        <v>189</v>
      </c>
      <c r="J2222" t="s">
        <v>190</v>
      </c>
      <c r="K2222" t="s">
        <v>191</v>
      </c>
      <c r="L2222" t="s">
        <v>22</v>
      </c>
      <c r="M2222" s="1">
        <v>37341</v>
      </c>
      <c r="N2222">
        <v>2002</v>
      </c>
    </row>
    <row r="2223" spans="1:14">
      <c r="A2223" t="s">
        <v>14</v>
      </c>
      <c r="B2223" t="str">
        <f>"123105200301"</f>
        <v>123105200301</v>
      </c>
      <c r="C2223" t="s">
        <v>2419</v>
      </c>
      <c r="D2223" t="s">
        <v>64</v>
      </c>
      <c r="G2223" t="s">
        <v>32</v>
      </c>
      <c r="H2223" t="s">
        <v>65</v>
      </c>
      <c r="I2223" t="s">
        <v>189</v>
      </c>
      <c r="J2223" t="s">
        <v>190</v>
      </c>
      <c r="K2223" t="s">
        <v>191</v>
      </c>
      <c r="L2223" t="s">
        <v>22</v>
      </c>
      <c r="M2223" s="1">
        <v>37772</v>
      </c>
      <c r="N2223">
        <v>2003</v>
      </c>
    </row>
    <row r="2224" spans="1:14">
      <c r="A2224" t="s">
        <v>14</v>
      </c>
      <c r="B2224" t="str">
        <f>"120712200202"</f>
        <v>120712200202</v>
      </c>
      <c r="C2224" t="s">
        <v>2428</v>
      </c>
      <c r="D2224" t="s">
        <v>510</v>
      </c>
      <c r="G2224" t="s">
        <v>32</v>
      </c>
      <c r="H2224" t="s">
        <v>65</v>
      </c>
      <c r="I2224" t="s">
        <v>189</v>
      </c>
      <c r="J2224" t="s">
        <v>190</v>
      </c>
      <c r="K2224" t="s">
        <v>191</v>
      </c>
      <c r="L2224" t="s">
        <v>22</v>
      </c>
      <c r="M2224" s="1">
        <v>37597</v>
      </c>
      <c r="N2224">
        <v>2002</v>
      </c>
    </row>
    <row r="2225" spans="1:14">
      <c r="A2225" t="s">
        <v>14</v>
      </c>
      <c r="B2225" t="str">
        <f>"122711200202"</f>
        <v>122711200202</v>
      </c>
      <c r="C2225" t="s">
        <v>2542</v>
      </c>
      <c r="D2225" t="s">
        <v>310</v>
      </c>
      <c r="G2225" t="s">
        <v>32</v>
      </c>
      <c r="H2225" t="s">
        <v>65</v>
      </c>
      <c r="I2225" t="s">
        <v>189</v>
      </c>
      <c r="J2225" t="s">
        <v>190</v>
      </c>
      <c r="K2225" t="s">
        <v>272</v>
      </c>
      <c r="L2225" t="s">
        <v>63</v>
      </c>
      <c r="M2225" s="1">
        <v>37587</v>
      </c>
      <c r="N2225">
        <v>2002</v>
      </c>
    </row>
    <row r="2226" spans="1:14">
      <c r="A2226" t="s">
        <v>14</v>
      </c>
      <c r="B2226" t="str">
        <f>"122806200201"</f>
        <v>122806200201</v>
      </c>
      <c r="C2226" t="s">
        <v>2761</v>
      </c>
      <c r="D2226" t="s">
        <v>541</v>
      </c>
      <c r="G2226" t="s">
        <v>32</v>
      </c>
      <c r="H2226" t="s">
        <v>65</v>
      </c>
      <c r="I2226" t="s">
        <v>189</v>
      </c>
      <c r="J2226" t="s">
        <v>190</v>
      </c>
      <c r="K2226" t="s">
        <v>272</v>
      </c>
      <c r="L2226" t="s">
        <v>22</v>
      </c>
      <c r="M2226" s="1">
        <v>37435</v>
      </c>
      <c r="N2226">
        <v>2002</v>
      </c>
    </row>
    <row r="2227" spans="1:14">
      <c r="A2227" t="s">
        <v>14</v>
      </c>
      <c r="B2227" t="str">
        <f>"123004199800"</f>
        <v>123004199800</v>
      </c>
      <c r="C2227" t="s">
        <v>1016</v>
      </c>
      <c r="D2227" t="s">
        <v>409</v>
      </c>
      <c r="G2227" t="s">
        <v>32</v>
      </c>
      <c r="H2227" t="s">
        <v>59</v>
      </c>
      <c r="I2227" t="s">
        <v>189</v>
      </c>
      <c r="J2227" t="s">
        <v>190</v>
      </c>
      <c r="K2227" t="s">
        <v>272</v>
      </c>
      <c r="L2227" t="s">
        <v>63</v>
      </c>
      <c r="M2227" s="1">
        <v>35915</v>
      </c>
      <c r="N2227">
        <v>1998</v>
      </c>
    </row>
    <row r="2228" spans="1:14">
      <c r="A2228" t="s">
        <v>14</v>
      </c>
      <c r="B2228" t="str">
        <f>"122610199802"</f>
        <v>122610199802</v>
      </c>
      <c r="C2228" t="s">
        <v>1033</v>
      </c>
      <c r="D2228" t="s">
        <v>178</v>
      </c>
      <c r="G2228" t="s">
        <v>32</v>
      </c>
      <c r="H2228" t="s">
        <v>59</v>
      </c>
      <c r="I2228" t="s">
        <v>189</v>
      </c>
      <c r="J2228" t="s">
        <v>190</v>
      </c>
      <c r="K2228" t="s">
        <v>272</v>
      </c>
      <c r="L2228" t="s">
        <v>48</v>
      </c>
      <c r="M2228" s="1">
        <v>36094</v>
      </c>
      <c r="N2228">
        <v>1998</v>
      </c>
    </row>
    <row r="2229" spans="1:14">
      <c r="A2229" t="s">
        <v>14</v>
      </c>
      <c r="B2229" t="str">
        <f>"121202199800"</f>
        <v>121202199800</v>
      </c>
      <c r="C2229" t="s">
        <v>1284</v>
      </c>
      <c r="D2229" t="s">
        <v>127</v>
      </c>
      <c r="G2229" t="s">
        <v>32</v>
      </c>
      <c r="H2229" t="s">
        <v>59</v>
      </c>
      <c r="I2229" t="s">
        <v>189</v>
      </c>
      <c r="J2229" t="s">
        <v>190</v>
      </c>
      <c r="K2229" t="s">
        <v>1285</v>
      </c>
      <c r="L2229" t="s">
        <v>48</v>
      </c>
      <c r="M2229" s="1">
        <v>35838</v>
      </c>
      <c r="N2229">
        <v>1998</v>
      </c>
    </row>
    <row r="2230" spans="1:14">
      <c r="A2230" t="s">
        <v>14</v>
      </c>
      <c r="B2230" t="str">
        <f>"120803199400"</f>
        <v>120803199400</v>
      </c>
      <c r="C2230" t="s">
        <v>1284</v>
      </c>
      <c r="D2230" t="s">
        <v>541</v>
      </c>
      <c r="G2230" t="s">
        <v>32</v>
      </c>
      <c r="H2230" t="s">
        <v>59</v>
      </c>
      <c r="I2230" t="s">
        <v>189</v>
      </c>
      <c r="J2230" t="s">
        <v>190</v>
      </c>
      <c r="K2230" t="s">
        <v>1286</v>
      </c>
      <c r="L2230" t="s">
        <v>29</v>
      </c>
      <c r="M2230" s="1">
        <v>34401</v>
      </c>
      <c r="N2230">
        <v>1994</v>
      </c>
    </row>
    <row r="2231" spans="1:14">
      <c r="A2231" t="s">
        <v>14</v>
      </c>
      <c r="B2231" t="str">
        <f>"120603199901"</f>
        <v>120603199901</v>
      </c>
      <c r="C2231" t="s">
        <v>1173</v>
      </c>
      <c r="D2231" t="s">
        <v>1174</v>
      </c>
      <c r="G2231" t="s">
        <v>32</v>
      </c>
      <c r="H2231" t="s">
        <v>44</v>
      </c>
      <c r="I2231" t="s">
        <v>189</v>
      </c>
      <c r="J2231" t="s">
        <v>190</v>
      </c>
      <c r="K2231" t="s">
        <v>191</v>
      </c>
      <c r="L2231" t="s">
        <v>48</v>
      </c>
      <c r="M2231" s="1">
        <v>36225</v>
      </c>
      <c r="N2231">
        <v>1999</v>
      </c>
    </row>
    <row r="2232" spans="1:14">
      <c r="A2232" t="s">
        <v>14</v>
      </c>
      <c r="B2232" t="str">
        <f>"122605200100"</f>
        <v>122605200100</v>
      </c>
      <c r="C2232" t="s">
        <v>1961</v>
      </c>
      <c r="D2232" t="s">
        <v>680</v>
      </c>
      <c r="G2232" t="s">
        <v>32</v>
      </c>
      <c r="H2232" t="s">
        <v>44</v>
      </c>
      <c r="I2232" t="s">
        <v>189</v>
      </c>
      <c r="J2232" t="s">
        <v>190</v>
      </c>
      <c r="K2232" t="s">
        <v>272</v>
      </c>
      <c r="L2232" t="s">
        <v>63</v>
      </c>
      <c r="M2232" s="1">
        <v>37037</v>
      </c>
      <c r="N2232">
        <v>2001</v>
      </c>
    </row>
    <row r="2233" spans="1:14">
      <c r="A2233" t="s">
        <v>14</v>
      </c>
      <c r="B2233" t="str">
        <f>"121208200001"</f>
        <v>121208200001</v>
      </c>
      <c r="C2233" t="s">
        <v>2003</v>
      </c>
      <c r="D2233" t="s">
        <v>353</v>
      </c>
      <c r="G2233" t="s">
        <v>32</v>
      </c>
      <c r="H2233" t="s">
        <v>44</v>
      </c>
      <c r="I2233" t="s">
        <v>189</v>
      </c>
      <c r="J2233" t="s">
        <v>190</v>
      </c>
      <c r="K2233" t="s">
        <v>272</v>
      </c>
      <c r="L2233" t="s">
        <v>63</v>
      </c>
      <c r="M2233" s="1">
        <v>36750</v>
      </c>
      <c r="N2233">
        <v>2000</v>
      </c>
    </row>
    <row r="2234" spans="1:14">
      <c r="A2234" t="s">
        <v>14</v>
      </c>
      <c r="B2234" t="str">
        <f>"122612200000"</f>
        <v>122612200000</v>
      </c>
      <c r="C2234" t="s">
        <v>2101</v>
      </c>
      <c r="D2234" t="s">
        <v>524</v>
      </c>
      <c r="G2234" t="s">
        <v>32</v>
      </c>
      <c r="H2234" t="s">
        <v>44</v>
      </c>
      <c r="I2234" t="s">
        <v>189</v>
      </c>
      <c r="J2234" t="s">
        <v>190</v>
      </c>
      <c r="K2234" t="s">
        <v>2102</v>
      </c>
      <c r="L2234" t="s">
        <v>63</v>
      </c>
      <c r="M2234" s="1">
        <v>36886</v>
      </c>
      <c r="N2234">
        <v>2000</v>
      </c>
    </row>
    <row r="2235" spans="1:14">
      <c r="A2235" t="s">
        <v>14</v>
      </c>
      <c r="B2235" t="str">
        <f>"122502199900"</f>
        <v>122502199900</v>
      </c>
      <c r="C2235" t="s">
        <v>2608</v>
      </c>
      <c r="D2235" t="s">
        <v>64</v>
      </c>
      <c r="G2235" t="s">
        <v>32</v>
      </c>
      <c r="H2235" t="s">
        <v>44</v>
      </c>
      <c r="I2235" t="s">
        <v>189</v>
      </c>
      <c r="J2235" t="s">
        <v>190</v>
      </c>
      <c r="K2235" t="s">
        <v>191</v>
      </c>
      <c r="L2235" t="s">
        <v>63</v>
      </c>
      <c r="M2235" s="1">
        <v>36216</v>
      </c>
      <c r="N2235">
        <v>1999</v>
      </c>
    </row>
    <row r="2236" spans="1:14">
      <c r="A2236" t="s">
        <v>14</v>
      </c>
      <c r="B2236" t="str">
        <f>"120504200001"</f>
        <v>120504200001</v>
      </c>
      <c r="C2236" t="s">
        <v>2857</v>
      </c>
      <c r="D2236" t="s">
        <v>380</v>
      </c>
      <c r="G2236" t="s">
        <v>32</v>
      </c>
      <c r="H2236" t="s">
        <v>44</v>
      </c>
      <c r="I2236" t="s">
        <v>189</v>
      </c>
      <c r="J2236" t="s">
        <v>190</v>
      </c>
      <c r="K2236" t="s">
        <v>272</v>
      </c>
      <c r="L2236" t="s">
        <v>63</v>
      </c>
      <c r="M2236" s="1">
        <v>36621</v>
      </c>
      <c r="N2236">
        <v>2000</v>
      </c>
    </row>
    <row r="2237" spans="1:14">
      <c r="A2237" t="s">
        <v>14</v>
      </c>
      <c r="B2237" t="str">
        <f>"120504200002"</f>
        <v>120504200002</v>
      </c>
      <c r="C2237" t="s">
        <v>2857</v>
      </c>
      <c r="D2237" t="s">
        <v>143</v>
      </c>
      <c r="G2237" t="s">
        <v>32</v>
      </c>
      <c r="H2237" t="s">
        <v>44</v>
      </c>
      <c r="I2237" t="s">
        <v>189</v>
      </c>
      <c r="J2237" t="s">
        <v>190</v>
      </c>
      <c r="K2237" t="s">
        <v>272</v>
      </c>
      <c r="L2237" t="s">
        <v>63</v>
      </c>
      <c r="M2237" s="1">
        <v>36621</v>
      </c>
      <c r="N2237">
        <v>2000</v>
      </c>
    </row>
    <row r="2238" spans="1:14">
      <c r="A2238" t="s">
        <v>14</v>
      </c>
      <c r="B2238" t="str">
        <f>"110101199803"</f>
        <v>110101199803</v>
      </c>
      <c r="C2238" t="s">
        <v>773</v>
      </c>
      <c r="D2238" t="s">
        <v>774</v>
      </c>
      <c r="G2238" t="s">
        <v>17</v>
      </c>
      <c r="H2238" t="s">
        <v>25</v>
      </c>
      <c r="I2238" t="s">
        <v>189</v>
      </c>
      <c r="J2238" t="s">
        <v>190</v>
      </c>
      <c r="K2238" t="s">
        <v>272</v>
      </c>
      <c r="L2238" t="s">
        <v>48</v>
      </c>
      <c r="M2238" s="1">
        <v>35796</v>
      </c>
      <c r="N2238">
        <v>1998</v>
      </c>
    </row>
    <row r="2239" spans="1:14">
      <c r="A2239" t="s">
        <v>14</v>
      </c>
      <c r="B2239" t="str">
        <f>"110410199802"</f>
        <v>110410199802</v>
      </c>
      <c r="C2239" t="s">
        <v>1631</v>
      </c>
      <c r="D2239" t="s">
        <v>344</v>
      </c>
      <c r="G2239" t="s">
        <v>17</v>
      </c>
      <c r="H2239" t="s">
        <v>25</v>
      </c>
      <c r="I2239" t="s">
        <v>189</v>
      </c>
      <c r="J2239" t="s">
        <v>190</v>
      </c>
      <c r="K2239" t="s">
        <v>272</v>
      </c>
      <c r="L2239" t="s">
        <v>63</v>
      </c>
      <c r="M2239" s="1">
        <v>36072</v>
      </c>
      <c r="N2239">
        <v>1998</v>
      </c>
    </row>
    <row r="2240" spans="1:14">
      <c r="A2240" t="s">
        <v>14</v>
      </c>
      <c r="B2240" t="str">
        <f>"110912199500"</f>
        <v>110912199500</v>
      </c>
      <c r="C2240" t="s">
        <v>1733</v>
      </c>
      <c r="D2240" t="s">
        <v>89</v>
      </c>
      <c r="G2240" t="s">
        <v>17</v>
      </c>
      <c r="H2240" t="s">
        <v>25</v>
      </c>
      <c r="I2240" t="s">
        <v>189</v>
      </c>
      <c r="J2240" t="s">
        <v>190</v>
      </c>
      <c r="K2240" t="s">
        <v>1735</v>
      </c>
      <c r="L2240" t="s">
        <v>48</v>
      </c>
      <c r="M2240" s="1">
        <v>35042</v>
      </c>
      <c r="N2240">
        <v>1995</v>
      </c>
    </row>
    <row r="2241" spans="1:14">
      <c r="A2241" t="s">
        <v>14</v>
      </c>
      <c r="B2241" t="str">
        <f>"113003199700"</f>
        <v>113003199700</v>
      </c>
      <c r="C2241" t="s">
        <v>1917</v>
      </c>
      <c r="D2241" t="s">
        <v>1918</v>
      </c>
      <c r="G2241" t="s">
        <v>17</v>
      </c>
      <c r="H2241" t="s">
        <v>25</v>
      </c>
      <c r="I2241" t="s">
        <v>189</v>
      </c>
      <c r="J2241" t="s">
        <v>190</v>
      </c>
      <c r="K2241" t="s">
        <v>1919</v>
      </c>
      <c r="L2241" t="s">
        <v>48</v>
      </c>
      <c r="M2241" s="1">
        <v>35519</v>
      </c>
      <c r="N2241">
        <v>1997</v>
      </c>
    </row>
    <row r="2242" spans="1:14">
      <c r="A2242" t="s">
        <v>14</v>
      </c>
      <c r="B2242" t="str">
        <f>"112212199801"</f>
        <v>112212199801</v>
      </c>
      <c r="C2242" t="s">
        <v>1930</v>
      </c>
      <c r="D2242" t="s">
        <v>209</v>
      </c>
      <c r="G2242" t="s">
        <v>17</v>
      </c>
      <c r="H2242" t="s">
        <v>25</v>
      </c>
      <c r="I2242" t="s">
        <v>189</v>
      </c>
      <c r="J2242" t="s">
        <v>190</v>
      </c>
      <c r="K2242" t="s">
        <v>1285</v>
      </c>
      <c r="L2242" t="s">
        <v>48</v>
      </c>
      <c r="M2242" s="1">
        <v>36151</v>
      </c>
      <c r="N2242">
        <v>1998</v>
      </c>
    </row>
    <row r="2243" spans="1:14">
      <c r="A2243" t="s">
        <v>14</v>
      </c>
      <c r="B2243" t="str">
        <f>"111006199802"</f>
        <v>111006199802</v>
      </c>
      <c r="C2243" t="s">
        <v>1959</v>
      </c>
      <c r="D2243" t="s">
        <v>24</v>
      </c>
      <c r="G2243" t="s">
        <v>17</v>
      </c>
      <c r="H2243" t="s">
        <v>25</v>
      </c>
      <c r="I2243" t="s">
        <v>189</v>
      </c>
      <c r="J2243" t="s">
        <v>190</v>
      </c>
      <c r="K2243" t="s">
        <v>1960</v>
      </c>
      <c r="L2243" t="s">
        <v>48</v>
      </c>
      <c r="M2243" s="1">
        <v>35956</v>
      </c>
      <c r="N2243">
        <v>1998</v>
      </c>
    </row>
    <row r="2244" spans="1:14">
      <c r="A2244" t="s">
        <v>14</v>
      </c>
      <c r="B2244" t="str">
        <f>"112606199500"</f>
        <v>112606199500</v>
      </c>
      <c r="C2244" t="s">
        <v>2140</v>
      </c>
      <c r="D2244" t="s">
        <v>617</v>
      </c>
      <c r="G2244" t="s">
        <v>17</v>
      </c>
      <c r="H2244" t="s">
        <v>25</v>
      </c>
      <c r="I2244" t="s">
        <v>189</v>
      </c>
      <c r="J2244" t="s">
        <v>190</v>
      </c>
      <c r="K2244" t="s">
        <v>1735</v>
      </c>
      <c r="L2244" t="s">
        <v>48</v>
      </c>
      <c r="M2244" s="1">
        <v>34876</v>
      </c>
      <c r="N2244">
        <v>1995</v>
      </c>
    </row>
    <row r="2245" spans="1:14">
      <c r="A2245" t="s">
        <v>14</v>
      </c>
      <c r="B2245" t="str">
        <f>"111204199400"</f>
        <v>111204199400</v>
      </c>
      <c r="C2245" t="s">
        <v>2151</v>
      </c>
      <c r="D2245" t="s">
        <v>209</v>
      </c>
      <c r="G2245" t="s">
        <v>17</v>
      </c>
      <c r="H2245" t="s">
        <v>25</v>
      </c>
      <c r="I2245" t="s">
        <v>189</v>
      </c>
      <c r="J2245" t="s">
        <v>190</v>
      </c>
      <c r="K2245" t="s">
        <v>2152</v>
      </c>
      <c r="L2245" t="s">
        <v>29</v>
      </c>
      <c r="M2245" s="1">
        <v>34436</v>
      </c>
      <c r="N2245">
        <v>1994</v>
      </c>
    </row>
    <row r="2246" spans="1:14">
      <c r="A2246" t="s">
        <v>14</v>
      </c>
      <c r="B2246" t="str">
        <f>"111105198500"</f>
        <v>111105198500</v>
      </c>
      <c r="C2246" t="s">
        <v>2347</v>
      </c>
      <c r="D2246" t="s">
        <v>181</v>
      </c>
      <c r="G2246" t="s">
        <v>17</v>
      </c>
      <c r="H2246" t="s">
        <v>25</v>
      </c>
      <c r="I2246" t="s">
        <v>189</v>
      </c>
      <c r="J2246" t="s">
        <v>190</v>
      </c>
      <c r="K2246" t="s">
        <v>1919</v>
      </c>
      <c r="L2246" t="s">
        <v>48</v>
      </c>
      <c r="M2246" s="1">
        <v>31178</v>
      </c>
      <c r="N2246">
        <v>1985</v>
      </c>
    </row>
    <row r="2247" spans="1:14">
      <c r="A2247" t="s">
        <v>14</v>
      </c>
      <c r="B2247" t="str">
        <f>"113006199500"</f>
        <v>113006199500</v>
      </c>
      <c r="C2247" t="s">
        <v>2806</v>
      </c>
      <c r="D2247" t="s">
        <v>24</v>
      </c>
      <c r="G2247" t="s">
        <v>17</v>
      </c>
      <c r="H2247" t="s">
        <v>25</v>
      </c>
      <c r="I2247" t="s">
        <v>189</v>
      </c>
      <c r="J2247" t="s">
        <v>190</v>
      </c>
      <c r="K2247" t="s">
        <v>2807</v>
      </c>
      <c r="L2247" t="s">
        <v>48</v>
      </c>
      <c r="M2247" s="1">
        <v>34880</v>
      </c>
      <c r="N2247">
        <v>1995</v>
      </c>
    </row>
    <row r="2248" spans="1:14">
      <c r="A2248" t="s">
        <v>14</v>
      </c>
      <c r="B2248" t="str">
        <f>"110906198800"</f>
        <v>110906198800</v>
      </c>
      <c r="C2248" t="s">
        <v>2809</v>
      </c>
      <c r="D2248" t="s">
        <v>16</v>
      </c>
      <c r="G2248" t="s">
        <v>17</v>
      </c>
      <c r="H2248" t="s">
        <v>25</v>
      </c>
      <c r="I2248" t="s">
        <v>189</v>
      </c>
      <c r="J2248" t="s">
        <v>190</v>
      </c>
      <c r="K2248" t="s">
        <v>2807</v>
      </c>
      <c r="L2248" t="s">
        <v>48</v>
      </c>
      <c r="M2248" s="1">
        <v>32303</v>
      </c>
      <c r="N2248">
        <v>1988</v>
      </c>
    </row>
    <row r="2249" spans="1:14">
      <c r="A2249" t="s">
        <v>14</v>
      </c>
      <c r="B2249" t="str">
        <f>"112205200100"</f>
        <v>112205200100</v>
      </c>
      <c r="C2249" t="s">
        <v>809</v>
      </c>
      <c r="D2249" t="s">
        <v>221</v>
      </c>
      <c r="G2249" t="s">
        <v>17</v>
      </c>
      <c r="H2249" t="s">
        <v>18</v>
      </c>
      <c r="I2249" t="s">
        <v>189</v>
      </c>
      <c r="J2249" t="s">
        <v>190</v>
      </c>
      <c r="K2249" t="s">
        <v>272</v>
      </c>
      <c r="L2249" t="s">
        <v>22</v>
      </c>
      <c r="M2249" s="1">
        <v>37033</v>
      </c>
      <c r="N2249">
        <v>2001</v>
      </c>
    </row>
    <row r="2250" spans="1:14">
      <c r="A2250" t="s">
        <v>14</v>
      </c>
      <c r="B2250" t="str">
        <f>"112801200000"</f>
        <v>112801200000</v>
      </c>
      <c r="C2250" t="s">
        <v>1047</v>
      </c>
      <c r="D2250" t="s">
        <v>16</v>
      </c>
      <c r="G2250" t="s">
        <v>17</v>
      </c>
      <c r="H2250" t="s">
        <v>18</v>
      </c>
      <c r="I2250" t="s">
        <v>189</v>
      </c>
      <c r="J2250" t="s">
        <v>190</v>
      </c>
      <c r="K2250" t="s">
        <v>191</v>
      </c>
      <c r="L2250" t="s">
        <v>48</v>
      </c>
      <c r="M2250" s="1">
        <v>36553</v>
      </c>
      <c r="N2250">
        <v>2000</v>
      </c>
    </row>
    <row r="2251" spans="1:14">
      <c r="A2251" t="s">
        <v>14</v>
      </c>
      <c r="B2251" t="str">
        <f>"112301200100"</f>
        <v>112301200100</v>
      </c>
      <c r="C2251" t="s">
        <v>1261</v>
      </c>
      <c r="D2251" t="s">
        <v>728</v>
      </c>
      <c r="G2251" t="s">
        <v>17</v>
      </c>
      <c r="H2251" t="s">
        <v>18</v>
      </c>
      <c r="I2251" t="s">
        <v>189</v>
      </c>
      <c r="J2251" t="s">
        <v>190</v>
      </c>
      <c r="K2251" t="s">
        <v>272</v>
      </c>
      <c r="L2251" t="s">
        <v>63</v>
      </c>
      <c r="M2251" s="1">
        <v>36914</v>
      </c>
      <c r="N2251">
        <v>2001</v>
      </c>
    </row>
    <row r="2252" spans="1:14">
      <c r="A2252" t="s">
        <v>14</v>
      </c>
      <c r="B2252" t="str">
        <f>"111202200101"</f>
        <v>111202200101</v>
      </c>
      <c r="C2252" t="s">
        <v>1296</v>
      </c>
      <c r="D2252" t="s">
        <v>107</v>
      </c>
      <c r="G2252" t="s">
        <v>17</v>
      </c>
      <c r="H2252" t="s">
        <v>18</v>
      </c>
      <c r="I2252" t="s">
        <v>189</v>
      </c>
      <c r="J2252" t="s">
        <v>190</v>
      </c>
      <c r="K2252" t="s">
        <v>191</v>
      </c>
      <c r="L2252" t="s">
        <v>22</v>
      </c>
      <c r="M2252" s="1">
        <v>36934</v>
      </c>
      <c r="N2252">
        <v>2001</v>
      </c>
    </row>
    <row r="2253" spans="1:14">
      <c r="A2253" t="s">
        <v>14</v>
      </c>
      <c r="B2253" t="str">
        <f>"111402200000"</f>
        <v>111402200000</v>
      </c>
      <c r="C2253" t="s">
        <v>1329</v>
      </c>
      <c r="D2253" t="s">
        <v>344</v>
      </c>
      <c r="G2253" t="s">
        <v>17</v>
      </c>
      <c r="H2253" t="s">
        <v>18</v>
      </c>
      <c r="I2253" t="s">
        <v>189</v>
      </c>
      <c r="J2253" t="s">
        <v>190</v>
      </c>
      <c r="K2253" t="s">
        <v>272</v>
      </c>
      <c r="L2253" t="s">
        <v>48</v>
      </c>
      <c r="M2253" s="1">
        <v>36570</v>
      </c>
      <c r="N2253">
        <v>2000</v>
      </c>
    </row>
    <row r="2254" spans="1:14">
      <c r="A2254" t="s">
        <v>14</v>
      </c>
      <c r="B2254" t="str">
        <f>"111902200100"</f>
        <v>111902200100</v>
      </c>
      <c r="C2254" t="s">
        <v>1475</v>
      </c>
      <c r="D2254" t="s">
        <v>209</v>
      </c>
      <c r="G2254" t="s">
        <v>17</v>
      </c>
      <c r="H2254" t="s">
        <v>18</v>
      </c>
      <c r="I2254" t="s">
        <v>189</v>
      </c>
      <c r="J2254" t="s">
        <v>190</v>
      </c>
      <c r="K2254" t="s">
        <v>191</v>
      </c>
      <c r="L2254" t="s">
        <v>63</v>
      </c>
      <c r="M2254" s="1">
        <v>36941</v>
      </c>
      <c r="N2254">
        <v>2001</v>
      </c>
    </row>
    <row r="2255" spans="1:14">
      <c r="A2255" t="s">
        <v>14</v>
      </c>
      <c r="B2255" t="str">
        <f>"111003200002"</f>
        <v>111003200002</v>
      </c>
      <c r="C2255" t="s">
        <v>1819</v>
      </c>
      <c r="D2255" t="s">
        <v>181</v>
      </c>
      <c r="G2255" t="s">
        <v>17</v>
      </c>
      <c r="H2255" t="s">
        <v>18</v>
      </c>
      <c r="I2255" t="s">
        <v>189</v>
      </c>
      <c r="J2255" t="s">
        <v>190</v>
      </c>
      <c r="K2255" t="s">
        <v>272</v>
      </c>
      <c r="L2255" t="s">
        <v>63</v>
      </c>
      <c r="M2255" s="1">
        <v>36595</v>
      </c>
      <c r="N2255">
        <v>2000</v>
      </c>
    </row>
    <row r="2256" spans="1:14">
      <c r="A2256" t="s">
        <v>14</v>
      </c>
      <c r="B2256" t="str">
        <f>"110312200100"</f>
        <v>110312200100</v>
      </c>
      <c r="C2256" t="s">
        <v>2393</v>
      </c>
      <c r="D2256" t="s">
        <v>120</v>
      </c>
      <c r="G2256" t="s">
        <v>17</v>
      </c>
      <c r="H2256" t="s">
        <v>18</v>
      </c>
      <c r="I2256" t="s">
        <v>189</v>
      </c>
      <c r="J2256" t="s">
        <v>190</v>
      </c>
      <c r="K2256" t="s">
        <v>191</v>
      </c>
      <c r="L2256" t="s">
        <v>63</v>
      </c>
      <c r="M2256" s="1">
        <v>37228</v>
      </c>
      <c r="N2256">
        <v>2001</v>
      </c>
    </row>
    <row r="2257" spans="1:14">
      <c r="A2257" t="s">
        <v>14</v>
      </c>
      <c r="B2257" t="str">
        <f>"111801200001"</f>
        <v>111801200001</v>
      </c>
      <c r="C2257" t="s">
        <v>2457</v>
      </c>
      <c r="D2257" t="s">
        <v>70</v>
      </c>
      <c r="G2257" t="s">
        <v>17</v>
      </c>
      <c r="H2257" t="s">
        <v>18</v>
      </c>
      <c r="I2257" t="s">
        <v>189</v>
      </c>
      <c r="J2257" t="s">
        <v>190</v>
      </c>
      <c r="K2257" t="s">
        <v>272</v>
      </c>
      <c r="L2257" t="s">
        <v>22</v>
      </c>
      <c r="M2257" s="1">
        <v>36909</v>
      </c>
      <c r="N2257">
        <v>2001</v>
      </c>
    </row>
    <row r="2258" spans="1:14">
      <c r="A2258" t="s">
        <v>14</v>
      </c>
      <c r="B2258" t="str">
        <f>"110805200001"</f>
        <v>110805200001</v>
      </c>
      <c r="C2258" t="s">
        <v>2462</v>
      </c>
      <c r="D2258" t="s">
        <v>920</v>
      </c>
      <c r="G2258" t="s">
        <v>17</v>
      </c>
      <c r="H2258" t="s">
        <v>18</v>
      </c>
      <c r="I2258" t="s">
        <v>189</v>
      </c>
      <c r="J2258" t="s">
        <v>190</v>
      </c>
      <c r="K2258" t="s">
        <v>191</v>
      </c>
      <c r="L2258" t="s">
        <v>63</v>
      </c>
      <c r="M2258" s="1">
        <v>36654</v>
      </c>
      <c r="N2258">
        <v>2000</v>
      </c>
    </row>
    <row r="2259" spans="1:14">
      <c r="A2259" t="s">
        <v>14</v>
      </c>
      <c r="B2259" t="str">
        <f>"112106200101"</f>
        <v>112106200101</v>
      </c>
      <c r="C2259" t="s">
        <v>2524</v>
      </c>
      <c r="D2259" t="s">
        <v>50</v>
      </c>
      <c r="G2259" t="s">
        <v>17</v>
      </c>
      <c r="H2259" t="s">
        <v>18</v>
      </c>
      <c r="I2259" t="s">
        <v>189</v>
      </c>
      <c r="J2259" t="s">
        <v>190</v>
      </c>
      <c r="K2259" t="s">
        <v>191</v>
      </c>
      <c r="L2259" t="s">
        <v>63</v>
      </c>
      <c r="M2259" s="1">
        <v>37063</v>
      </c>
      <c r="N2259">
        <v>2001</v>
      </c>
    </row>
    <row r="2260" spans="1:14">
      <c r="A2260" t="s">
        <v>14</v>
      </c>
      <c r="B2260" t="str">
        <f>"111612200401"</f>
        <v>111612200401</v>
      </c>
      <c r="C2260" t="s">
        <v>989</v>
      </c>
      <c r="D2260" t="s">
        <v>283</v>
      </c>
      <c r="G2260" t="s">
        <v>17</v>
      </c>
      <c r="H2260" t="s">
        <v>39</v>
      </c>
      <c r="I2260" t="s">
        <v>189</v>
      </c>
      <c r="J2260" t="s">
        <v>190</v>
      </c>
      <c r="K2260" t="s">
        <v>191</v>
      </c>
      <c r="M2260" s="1">
        <v>38337</v>
      </c>
      <c r="N2260">
        <v>2004</v>
      </c>
    </row>
    <row r="2261" spans="1:14">
      <c r="A2261" t="s">
        <v>14</v>
      </c>
      <c r="B2261" t="str">
        <f>"111804200400"</f>
        <v>111804200400</v>
      </c>
      <c r="C2261" t="s">
        <v>1177</v>
      </c>
      <c r="D2261" t="s">
        <v>373</v>
      </c>
      <c r="G2261" t="s">
        <v>17</v>
      </c>
      <c r="H2261" t="s">
        <v>39</v>
      </c>
      <c r="I2261" t="s">
        <v>189</v>
      </c>
      <c r="J2261" t="s">
        <v>190</v>
      </c>
      <c r="K2261" t="s">
        <v>1178</v>
      </c>
      <c r="L2261" t="s">
        <v>22</v>
      </c>
      <c r="M2261" s="1">
        <v>38095</v>
      </c>
      <c r="N2261">
        <v>2004</v>
      </c>
    </row>
    <row r="2262" spans="1:14">
      <c r="A2262" t="s">
        <v>14</v>
      </c>
      <c r="B2262" t="str">
        <f>"112409200401"</f>
        <v>112409200401</v>
      </c>
      <c r="C2262" t="s">
        <v>1331</v>
      </c>
      <c r="D2262" t="s">
        <v>617</v>
      </c>
      <c r="G2262" t="s">
        <v>17</v>
      </c>
      <c r="H2262" t="s">
        <v>39</v>
      </c>
      <c r="I2262" t="s">
        <v>189</v>
      </c>
      <c r="J2262" t="s">
        <v>190</v>
      </c>
      <c r="K2262" t="s">
        <v>191</v>
      </c>
      <c r="M2262" s="1">
        <v>38254</v>
      </c>
      <c r="N2262">
        <v>2004</v>
      </c>
    </row>
    <row r="2263" spans="1:14">
      <c r="A2263" t="s">
        <v>14</v>
      </c>
      <c r="B2263" t="str">
        <f>"112104200400"</f>
        <v>112104200400</v>
      </c>
      <c r="C2263" t="s">
        <v>1687</v>
      </c>
      <c r="D2263" t="s">
        <v>209</v>
      </c>
      <c r="G2263" t="s">
        <v>17</v>
      </c>
      <c r="H2263" t="s">
        <v>39</v>
      </c>
      <c r="I2263" t="s">
        <v>189</v>
      </c>
      <c r="J2263" t="s">
        <v>190</v>
      </c>
      <c r="K2263" t="s">
        <v>191</v>
      </c>
      <c r="L2263" t="s">
        <v>22</v>
      </c>
      <c r="M2263" s="1">
        <v>38098</v>
      </c>
      <c r="N2263">
        <v>2004</v>
      </c>
    </row>
    <row r="2264" spans="1:14">
      <c r="A2264" t="s">
        <v>14</v>
      </c>
      <c r="B2264" t="str">
        <f>"112307200400"</f>
        <v>112307200400</v>
      </c>
      <c r="C2264" t="s">
        <v>1991</v>
      </c>
      <c r="D2264" t="s">
        <v>344</v>
      </c>
      <c r="G2264" t="s">
        <v>17</v>
      </c>
      <c r="H2264" t="s">
        <v>39</v>
      </c>
      <c r="I2264" t="s">
        <v>189</v>
      </c>
      <c r="J2264" t="s">
        <v>190</v>
      </c>
      <c r="K2264" t="s">
        <v>191</v>
      </c>
      <c r="M2264" s="1">
        <v>38191</v>
      </c>
      <c r="N2264">
        <v>2004</v>
      </c>
    </row>
    <row r="2265" spans="1:14">
      <c r="A2265" t="s">
        <v>14</v>
      </c>
      <c r="B2265" t="str">
        <f>"110608200401"</f>
        <v>110608200401</v>
      </c>
      <c r="C2265" t="s">
        <v>2377</v>
      </c>
      <c r="D2265" t="s">
        <v>53</v>
      </c>
      <c r="G2265" t="s">
        <v>17</v>
      </c>
      <c r="H2265" t="s">
        <v>39</v>
      </c>
      <c r="I2265" t="s">
        <v>189</v>
      </c>
      <c r="J2265" t="s">
        <v>190</v>
      </c>
      <c r="K2265" t="s">
        <v>191</v>
      </c>
      <c r="L2265" t="s">
        <v>22</v>
      </c>
      <c r="M2265" s="1">
        <v>38205</v>
      </c>
      <c r="N2265">
        <v>2004</v>
      </c>
    </row>
    <row r="2266" spans="1:14">
      <c r="A2266" t="s">
        <v>14</v>
      </c>
      <c r="B2266" t="str">
        <f>"112307200401"</f>
        <v>112307200401</v>
      </c>
      <c r="C2266" t="s">
        <v>2427</v>
      </c>
      <c r="D2266" t="s">
        <v>70</v>
      </c>
      <c r="G2266" t="s">
        <v>17</v>
      </c>
      <c r="H2266" t="s">
        <v>39</v>
      </c>
      <c r="I2266" t="s">
        <v>189</v>
      </c>
      <c r="J2266" t="s">
        <v>190</v>
      </c>
      <c r="K2266" t="s">
        <v>191</v>
      </c>
      <c r="M2266" s="1">
        <v>38191</v>
      </c>
      <c r="N2266">
        <v>2004</v>
      </c>
    </row>
    <row r="2267" spans="1:14">
      <c r="A2267" t="s">
        <v>14</v>
      </c>
      <c r="B2267" t="str">
        <f>"111307200401"</f>
        <v>111307200401</v>
      </c>
      <c r="C2267" t="s">
        <v>2500</v>
      </c>
      <c r="D2267" t="s">
        <v>89</v>
      </c>
      <c r="G2267" t="s">
        <v>17</v>
      </c>
      <c r="H2267" t="s">
        <v>39</v>
      </c>
      <c r="I2267" t="s">
        <v>189</v>
      </c>
      <c r="J2267" t="s">
        <v>190</v>
      </c>
      <c r="K2267" t="s">
        <v>191</v>
      </c>
      <c r="L2267" t="s">
        <v>22</v>
      </c>
      <c r="M2267" s="1">
        <v>38181</v>
      </c>
      <c r="N2267">
        <v>2004</v>
      </c>
    </row>
    <row r="2268" spans="1:14">
      <c r="A2268" t="s">
        <v>14</v>
      </c>
      <c r="B2268" t="str">
        <f>"112403200401"</f>
        <v>112403200401</v>
      </c>
      <c r="C2268" t="s">
        <v>2529</v>
      </c>
      <c r="D2268" t="s">
        <v>89</v>
      </c>
      <c r="G2268" t="s">
        <v>17</v>
      </c>
      <c r="H2268" t="s">
        <v>39</v>
      </c>
      <c r="I2268" t="s">
        <v>189</v>
      </c>
      <c r="J2268" t="s">
        <v>190</v>
      </c>
      <c r="K2268" t="s">
        <v>191</v>
      </c>
      <c r="L2268" t="s">
        <v>22</v>
      </c>
      <c r="M2268" s="1">
        <v>38070</v>
      </c>
      <c r="N2268">
        <v>2004</v>
      </c>
    </row>
    <row r="2269" spans="1:14">
      <c r="A2269" t="s">
        <v>14</v>
      </c>
      <c r="B2269" t="str">
        <f>"111804200500"</f>
        <v>111804200500</v>
      </c>
      <c r="C2269" t="s">
        <v>2733</v>
      </c>
      <c r="D2269" t="s">
        <v>89</v>
      </c>
      <c r="G2269" t="s">
        <v>17</v>
      </c>
      <c r="H2269" t="s">
        <v>39</v>
      </c>
      <c r="I2269" t="s">
        <v>189</v>
      </c>
      <c r="J2269" t="s">
        <v>190</v>
      </c>
      <c r="K2269" t="s">
        <v>191</v>
      </c>
      <c r="L2269" t="s">
        <v>22</v>
      </c>
      <c r="M2269" s="1">
        <v>38460</v>
      </c>
      <c r="N2269">
        <v>2005</v>
      </c>
    </row>
    <row r="2270" spans="1:14">
      <c r="A2270" t="s">
        <v>14</v>
      </c>
      <c r="B2270" t="str">
        <f>"112308200400"</f>
        <v>112308200400</v>
      </c>
      <c r="C2270" t="s">
        <v>2738</v>
      </c>
      <c r="D2270" t="s">
        <v>98</v>
      </c>
      <c r="G2270" t="s">
        <v>17</v>
      </c>
      <c r="H2270" t="s">
        <v>39</v>
      </c>
      <c r="I2270" t="s">
        <v>189</v>
      </c>
      <c r="J2270" t="s">
        <v>190</v>
      </c>
      <c r="K2270" t="s">
        <v>191</v>
      </c>
      <c r="L2270" t="s">
        <v>22</v>
      </c>
      <c r="M2270" s="1">
        <v>38222</v>
      </c>
      <c r="N2270">
        <v>2004</v>
      </c>
    </row>
    <row r="2271" spans="1:14">
      <c r="A2271" t="s">
        <v>14</v>
      </c>
      <c r="B2271" t="str">
        <f>"111701200401"</f>
        <v>111701200401</v>
      </c>
      <c r="C2271" t="s">
        <v>2786</v>
      </c>
      <c r="D2271" t="s">
        <v>98</v>
      </c>
      <c r="G2271" t="s">
        <v>17</v>
      </c>
      <c r="H2271" t="s">
        <v>39</v>
      </c>
      <c r="I2271" t="s">
        <v>189</v>
      </c>
      <c r="J2271" t="s">
        <v>190</v>
      </c>
      <c r="K2271" t="s">
        <v>191</v>
      </c>
      <c r="L2271" t="s">
        <v>22</v>
      </c>
      <c r="M2271" s="1">
        <v>38003</v>
      </c>
      <c r="N2271">
        <v>2004</v>
      </c>
    </row>
    <row r="2272" spans="1:14">
      <c r="A2272" t="s">
        <v>14</v>
      </c>
      <c r="B2272" t="str">
        <f>"112403200402"</f>
        <v>112403200402</v>
      </c>
      <c r="C2272" t="s">
        <v>2866</v>
      </c>
      <c r="D2272" t="s">
        <v>53</v>
      </c>
      <c r="G2272" t="s">
        <v>17</v>
      </c>
      <c r="H2272" t="s">
        <v>39</v>
      </c>
      <c r="I2272" t="s">
        <v>189</v>
      </c>
      <c r="J2272" t="s">
        <v>190</v>
      </c>
      <c r="K2272" t="s">
        <v>191</v>
      </c>
      <c r="L2272" t="s">
        <v>22</v>
      </c>
      <c r="M2272" s="1">
        <v>38070</v>
      </c>
      <c r="N2272">
        <v>2004</v>
      </c>
    </row>
    <row r="2273" spans="1:14">
      <c r="A2273" t="s">
        <v>14</v>
      </c>
      <c r="B2273" t="str">
        <f>"110407200300"</f>
        <v>110407200300</v>
      </c>
      <c r="C2273" t="s">
        <v>502</v>
      </c>
      <c r="D2273" t="s">
        <v>129</v>
      </c>
      <c r="G2273" t="s">
        <v>17</v>
      </c>
      <c r="H2273" t="s">
        <v>51</v>
      </c>
      <c r="I2273" t="s">
        <v>189</v>
      </c>
      <c r="J2273" t="s">
        <v>190</v>
      </c>
      <c r="K2273" t="s">
        <v>191</v>
      </c>
      <c r="L2273" t="s">
        <v>22</v>
      </c>
      <c r="M2273" s="1">
        <v>37806</v>
      </c>
      <c r="N2273">
        <v>2003</v>
      </c>
    </row>
    <row r="2274" spans="1:14">
      <c r="A2274" t="s">
        <v>14</v>
      </c>
      <c r="B2274" t="str">
        <f>"112605200300"</f>
        <v>112605200300</v>
      </c>
      <c r="C2274" t="s">
        <v>545</v>
      </c>
      <c r="D2274" t="s">
        <v>259</v>
      </c>
      <c r="G2274" t="s">
        <v>17</v>
      </c>
      <c r="H2274" t="s">
        <v>51</v>
      </c>
      <c r="I2274" t="s">
        <v>189</v>
      </c>
      <c r="J2274" t="s">
        <v>190</v>
      </c>
      <c r="K2274" t="s">
        <v>272</v>
      </c>
      <c r="L2274" t="s">
        <v>63</v>
      </c>
      <c r="M2274" s="1">
        <v>37767</v>
      </c>
      <c r="N2274">
        <v>2003</v>
      </c>
    </row>
    <row r="2275" spans="1:14">
      <c r="A2275" t="s">
        <v>14</v>
      </c>
      <c r="B2275" t="str">
        <f>"113006200200"</f>
        <v>113006200200</v>
      </c>
      <c r="C2275" t="s">
        <v>588</v>
      </c>
      <c r="D2275" t="s">
        <v>431</v>
      </c>
      <c r="G2275" t="s">
        <v>17</v>
      </c>
      <c r="H2275" t="s">
        <v>51</v>
      </c>
      <c r="I2275" t="s">
        <v>189</v>
      </c>
      <c r="J2275" t="s">
        <v>190</v>
      </c>
      <c r="K2275" t="s">
        <v>191</v>
      </c>
      <c r="L2275" t="s">
        <v>22</v>
      </c>
      <c r="M2275" s="1">
        <v>37437</v>
      </c>
      <c r="N2275">
        <v>2002</v>
      </c>
    </row>
    <row r="2276" spans="1:14">
      <c r="A2276" t="s">
        <v>14</v>
      </c>
      <c r="B2276" t="str">
        <f>"111808200202"</f>
        <v>111808200202</v>
      </c>
      <c r="C2276" t="s">
        <v>642</v>
      </c>
      <c r="D2276" t="s">
        <v>70</v>
      </c>
      <c r="G2276" t="s">
        <v>17</v>
      </c>
      <c r="H2276" t="s">
        <v>51</v>
      </c>
      <c r="I2276" t="s">
        <v>189</v>
      </c>
      <c r="J2276" t="s">
        <v>190</v>
      </c>
      <c r="K2276" t="s">
        <v>644</v>
      </c>
      <c r="L2276" t="s">
        <v>22</v>
      </c>
      <c r="M2276" s="1">
        <v>37486</v>
      </c>
      <c r="N2276">
        <v>2002</v>
      </c>
    </row>
    <row r="2277" spans="1:14">
      <c r="A2277" t="s">
        <v>14</v>
      </c>
      <c r="B2277" t="str">
        <f>"110202200300"</f>
        <v>110202200300</v>
      </c>
      <c r="C2277" t="s">
        <v>642</v>
      </c>
      <c r="D2277" t="s">
        <v>155</v>
      </c>
      <c r="G2277" t="s">
        <v>17</v>
      </c>
      <c r="H2277" t="s">
        <v>51</v>
      </c>
      <c r="I2277" t="s">
        <v>189</v>
      </c>
      <c r="J2277" t="s">
        <v>190</v>
      </c>
      <c r="K2277" t="s">
        <v>272</v>
      </c>
      <c r="L2277" t="s">
        <v>22</v>
      </c>
      <c r="M2277" s="1">
        <v>37654</v>
      </c>
      <c r="N2277">
        <v>2003</v>
      </c>
    </row>
    <row r="2278" spans="1:14">
      <c r="A2278" t="s">
        <v>14</v>
      </c>
      <c r="B2278" t="str">
        <f>"111703200201"</f>
        <v>111703200201</v>
      </c>
      <c r="C2278" t="s">
        <v>656</v>
      </c>
      <c r="D2278" t="s">
        <v>259</v>
      </c>
      <c r="G2278" t="s">
        <v>17</v>
      </c>
      <c r="H2278" t="s">
        <v>51</v>
      </c>
      <c r="I2278" t="s">
        <v>189</v>
      </c>
      <c r="J2278" t="s">
        <v>190</v>
      </c>
      <c r="K2278" t="s">
        <v>272</v>
      </c>
      <c r="L2278" t="s">
        <v>22</v>
      </c>
      <c r="M2278" s="1">
        <v>37332</v>
      </c>
      <c r="N2278">
        <v>2002</v>
      </c>
    </row>
    <row r="2279" spans="1:14">
      <c r="A2279" t="s">
        <v>14</v>
      </c>
      <c r="B2279" t="str">
        <f>"112506200201"</f>
        <v>112506200201</v>
      </c>
      <c r="C2279" t="s">
        <v>859</v>
      </c>
      <c r="D2279" t="s">
        <v>256</v>
      </c>
      <c r="G2279" t="s">
        <v>17</v>
      </c>
      <c r="H2279" t="s">
        <v>51</v>
      </c>
      <c r="I2279" t="s">
        <v>189</v>
      </c>
      <c r="J2279" t="s">
        <v>190</v>
      </c>
      <c r="K2279" t="s">
        <v>272</v>
      </c>
      <c r="L2279" t="s">
        <v>22</v>
      </c>
      <c r="M2279" s="1">
        <v>37432</v>
      </c>
      <c r="N2279">
        <v>2002</v>
      </c>
    </row>
    <row r="2280" spans="1:14">
      <c r="A2280" t="s">
        <v>14</v>
      </c>
      <c r="B2280" t="str">
        <f>"110704200300"</f>
        <v>110704200300</v>
      </c>
      <c r="C2280" t="s">
        <v>861</v>
      </c>
      <c r="D2280" t="s">
        <v>98</v>
      </c>
      <c r="G2280" t="s">
        <v>17</v>
      </c>
      <c r="H2280" t="s">
        <v>51</v>
      </c>
      <c r="I2280" t="s">
        <v>189</v>
      </c>
      <c r="J2280" t="s">
        <v>190</v>
      </c>
      <c r="K2280" t="s">
        <v>191</v>
      </c>
      <c r="L2280" t="s">
        <v>22</v>
      </c>
      <c r="M2280" s="1">
        <v>37718</v>
      </c>
      <c r="N2280">
        <v>2003</v>
      </c>
    </row>
    <row r="2281" spans="1:14">
      <c r="A2281" t="s">
        <v>14</v>
      </c>
      <c r="B2281" t="str">
        <f>"110707200201"</f>
        <v>110707200201</v>
      </c>
      <c r="C2281" t="s">
        <v>1006</v>
      </c>
      <c r="D2281" t="s">
        <v>53</v>
      </c>
      <c r="G2281" t="s">
        <v>17</v>
      </c>
      <c r="H2281" t="s">
        <v>51</v>
      </c>
      <c r="I2281" t="s">
        <v>189</v>
      </c>
      <c r="J2281" t="s">
        <v>190</v>
      </c>
      <c r="K2281" t="s">
        <v>272</v>
      </c>
      <c r="L2281" t="s">
        <v>22</v>
      </c>
      <c r="M2281" s="1">
        <v>37444</v>
      </c>
      <c r="N2281">
        <v>2002</v>
      </c>
    </row>
    <row r="2282" spans="1:14">
      <c r="A2282" t="s">
        <v>14</v>
      </c>
      <c r="B2282" t="str">
        <f>"112105200301"</f>
        <v>112105200301</v>
      </c>
      <c r="C2282" t="s">
        <v>1129</v>
      </c>
      <c r="D2282" t="s">
        <v>1103</v>
      </c>
      <c r="G2282" t="s">
        <v>17</v>
      </c>
      <c r="H2282" t="s">
        <v>51</v>
      </c>
      <c r="I2282" t="s">
        <v>189</v>
      </c>
      <c r="J2282" t="s">
        <v>190</v>
      </c>
      <c r="K2282" t="s">
        <v>191</v>
      </c>
      <c r="L2282" t="s">
        <v>22</v>
      </c>
      <c r="M2282" s="1">
        <v>37762</v>
      </c>
      <c r="N2282">
        <v>2003</v>
      </c>
    </row>
    <row r="2283" spans="1:14">
      <c r="A2283" t="s">
        <v>14</v>
      </c>
      <c r="B2283" t="str">
        <f>"112202200201"</f>
        <v>112202200201</v>
      </c>
      <c r="C2283" t="s">
        <v>1278</v>
      </c>
      <c r="D2283" t="s">
        <v>53</v>
      </c>
      <c r="G2283" t="s">
        <v>17</v>
      </c>
      <c r="H2283" t="s">
        <v>51</v>
      </c>
      <c r="I2283" t="s">
        <v>189</v>
      </c>
      <c r="J2283" t="s">
        <v>190</v>
      </c>
      <c r="K2283" t="s">
        <v>272</v>
      </c>
      <c r="L2283" t="s">
        <v>22</v>
      </c>
      <c r="M2283" s="1">
        <v>37309</v>
      </c>
      <c r="N2283">
        <v>2002</v>
      </c>
    </row>
    <row r="2284" spans="1:14">
      <c r="A2284" t="s">
        <v>14</v>
      </c>
      <c r="B2284" t="str">
        <f>"112110200200"</f>
        <v>112110200200</v>
      </c>
      <c r="C2284" t="s">
        <v>1396</v>
      </c>
      <c r="D2284" t="s">
        <v>95</v>
      </c>
      <c r="G2284" t="s">
        <v>17</v>
      </c>
      <c r="H2284" t="s">
        <v>51</v>
      </c>
      <c r="I2284" t="s">
        <v>189</v>
      </c>
      <c r="J2284" t="s">
        <v>190</v>
      </c>
      <c r="K2284" t="s">
        <v>272</v>
      </c>
      <c r="L2284" t="s">
        <v>63</v>
      </c>
      <c r="M2284" s="1">
        <v>37550</v>
      </c>
      <c r="N2284">
        <v>2002</v>
      </c>
    </row>
    <row r="2285" spans="1:14">
      <c r="A2285" t="s">
        <v>14</v>
      </c>
      <c r="B2285" t="str">
        <f>"112209200201"</f>
        <v>112209200201</v>
      </c>
      <c r="C2285" t="s">
        <v>1416</v>
      </c>
      <c r="D2285" t="s">
        <v>221</v>
      </c>
      <c r="G2285" t="s">
        <v>17</v>
      </c>
      <c r="H2285" t="s">
        <v>51</v>
      </c>
      <c r="I2285" t="s">
        <v>189</v>
      </c>
      <c r="J2285" t="s">
        <v>190</v>
      </c>
      <c r="K2285" t="s">
        <v>272</v>
      </c>
      <c r="L2285" t="s">
        <v>22</v>
      </c>
      <c r="M2285" s="1">
        <v>37521</v>
      </c>
      <c r="N2285">
        <v>2002</v>
      </c>
    </row>
    <row r="2286" spans="1:14">
      <c r="A2286" t="s">
        <v>14</v>
      </c>
      <c r="B2286" t="str">
        <f>"111407200300"</f>
        <v>111407200300</v>
      </c>
      <c r="C2286" t="s">
        <v>1418</v>
      </c>
      <c r="D2286" t="s">
        <v>53</v>
      </c>
      <c r="G2286" t="s">
        <v>17</v>
      </c>
      <c r="H2286" t="s">
        <v>51</v>
      </c>
      <c r="I2286" t="s">
        <v>189</v>
      </c>
      <c r="J2286" t="s">
        <v>190</v>
      </c>
      <c r="K2286" t="s">
        <v>191</v>
      </c>
      <c r="L2286" t="s">
        <v>63</v>
      </c>
      <c r="M2286" s="1">
        <v>37816</v>
      </c>
      <c r="N2286">
        <v>2003</v>
      </c>
    </row>
    <row r="2287" spans="1:14">
      <c r="A2287" t="s">
        <v>14</v>
      </c>
      <c r="B2287" t="str">
        <f>"112510200301"</f>
        <v>112510200301</v>
      </c>
      <c r="C2287" t="s">
        <v>1590</v>
      </c>
      <c r="D2287" t="s">
        <v>256</v>
      </c>
      <c r="G2287" t="s">
        <v>17</v>
      </c>
      <c r="H2287" t="s">
        <v>51</v>
      </c>
      <c r="I2287" t="s">
        <v>189</v>
      </c>
      <c r="J2287" t="s">
        <v>190</v>
      </c>
      <c r="K2287" t="s">
        <v>272</v>
      </c>
      <c r="M2287" s="1">
        <v>37919</v>
      </c>
      <c r="N2287">
        <v>2003</v>
      </c>
    </row>
    <row r="2288" spans="1:14">
      <c r="A2288" t="s">
        <v>14</v>
      </c>
      <c r="B2288" t="str">
        <f>"112810200300"</f>
        <v>112810200300</v>
      </c>
      <c r="C2288" t="s">
        <v>1671</v>
      </c>
      <c r="D2288" t="s">
        <v>344</v>
      </c>
      <c r="G2288" t="s">
        <v>17</v>
      </c>
      <c r="H2288" t="s">
        <v>51</v>
      </c>
      <c r="I2288" t="s">
        <v>189</v>
      </c>
      <c r="J2288" t="s">
        <v>190</v>
      </c>
      <c r="K2288" t="s">
        <v>191</v>
      </c>
      <c r="L2288" t="s">
        <v>63</v>
      </c>
      <c r="M2288" s="1">
        <v>37922</v>
      </c>
      <c r="N2288">
        <v>2003</v>
      </c>
    </row>
    <row r="2289" spans="1:14">
      <c r="A2289" t="s">
        <v>14</v>
      </c>
      <c r="B2289" t="str">
        <f>"110910200301"</f>
        <v>110910200301</v>
      </c>
      <c r="C2289" t="s">
        <v>1742</v>
      </c>
      <c r="D2289" t="s">
        <v>209</v>
      </c>
      <c r="G2289" t="s">
        <v>17</v>
      </c>
      <c r="H2289" t="s">
        <v>51</v>
      </c>
      <c r="I2289" t="s">
        <v>189</v>
      </c>
      <c r="J2289" t="s">
        <v>190</v>
      </c>
      <c r="K2289" t="s">
        <v>191</v>
      </c>
      <c r="L2289" t="s">
        <v>22</v>
      </c>
      <c r="M2289" s="1">
        <v>37903</v>
      </c>
      <c r="N2289">
        <v>2003</v>
      </c>
    </row>
    <row r="2290" spans="1:14">
      <c r="A2290" t="s">
        <v>14</v>
      </c>
      <c r="B2290" t="str">
        <f>"112910200300"</f>
        <v>112910200300</v>
      </c>
      <c r="C2290" t="s">
        <v>1796</v>
      </c>
      <c r="D2290" t="s">
        <v>283</v>
      </c>
      <c r="G2290" t="s">
        <v>17</v>
      </c>
      <c r="H2290" t="s">
        <v>51</v>
      </c>
      <c r="I2290" t="s">
        <v>189</v>
      </c>
      <c r="J2290" t="s">
        <v>190</v>
      </c>
      <c r="K2290" t="s">
        <v>191</v>
      </c>
      <c r="L2290" t="s">
        <v>22</v>
      </c>
      <c r="M2290" s="1">
        <v>37923</v>
      </c>
      <c r="N2290">
        <v>2003</v>
      </c>
    </row>
    <row r="2291" spans="1:14">
      <c r="A2291" t="s">
        <v>14</v>
      </c>
      <c r="B2291" t="str">
        <f>"110904200200"</f>
        <v>110904200200</v>
      </c>
      <c r="C2291" t="s">
        <v>2106</v>
      </c>
      <c r="D2291" t="s">
        <v>259</v>
      </c>
      <c r="G2291" t="s">
        <v>17</v>
      </c>
      <c r="H2291" t="s">
        <v>51</v>
      </c>
      <c r="I2291" t="s">
        <v>189</v>
      </c>
      <c r="J2291" t="s">
        <v>190</v>
      </c>
      <c r="K2291" t="s">
        <v>272</v>
      </c>
      <c r="L2291" t="s">
        <v>22</v>
      </c>
      <c r="M2291" s="1">
        <v>37355</v>
      </c>
      <c r="N2291">
        <v>2002</v>
      </c>
    </row>
    <row r="2292" spans="1:14">
      <c r="A2292" t="s">
        <v>14</v>
      </c>
      <c r="B2292" t="str">
        <f>"112704200200"</f>
        <v>112704200200</v>
      </c>
      <c r="C2292" t="s">
        <v>2179</v>
      </c>
      <c r="D2292" t="s">
        <v>129</v>
      </c>
      <c r="G2292" t="s">
        <v>17</v>
      </c>
      <c r="H2292" t="s">
        <v>51</v>
      </c>
      <c r="I2292" t="s">
        <v>189</v>
      </c>
      <c r="J2292" t="s">
        <v>190</v>
      </c>
      <c r="K2292" t="s">
        <v>191</v>
      </c>
      <c r="L2292" t="s">
        <v>63</v>
      </c>
      <c r="M2292" s="1">
        <v>37373</v>
      </c>
      <c r="N2292">
        <v>2002</v>
      </c>
    </row>
    <row r="2293" spans="1:14">
      <c r="A2293" t="s">
        <v>14</v>
      </c>
      <c r="B2293" t="str">
        <f>"111705200200"</f>
        <v>111705200200</v>
      </c>
      <c r="C2293" t="s">
        <v>2334</v>
      </c>
      <c r="D2293" t="s">
        <v>53</v>
      </c>
      <c r="G2293" t="s">
        <v>17</v>
      </c>
      <c r="H2293" t="s">
        <v>51</v>
      </c>
      <c r="I2293" t="s">
        <v>189</v>
      </c>
      <c r="J2293" t="s">
        <v>190</v>
      </c>
      <c r="K2293" t="s">
        <v>272</v>
      </c>
      <c r="L2293" t="s">
        <v>22</v>
      </c>
      <c r="M2293" s="1">
        <v>37393</v>
      </c>
      <c r="N2293">
        <v>2002</v>
      </c>
    </row>
    <row r="2294" spans="1:14">
      <c r="A2294" t="s">
        <v>14</v>
      </c>
      <c r="B2294" t="str">
        <f>"110709200300"</f>
        <v>110709200300</v>
      </c>
      <c r="C2294" t="s">
        <v>2418</v>
      </c>
      <c r="D2294" t="s">
        <v>752</v>
      </c>
      <c r="G2294" t="s">
        <v>17</v>
      </c>
      <c r="H2294" t="s">
        <v>51</v>
      </c>
      <c r="I2294" t="s">
        <v>189</v>
      </c>
      <c r="J2294" t="s">
        <v>190</v>
      </c>
      <c r="K2294" t="s">
        <v>272</v>
      </c>
      <c r="L2294" t="s">
        <v>22</v>
      </c>
      <c r="M2294" s="1">
        <v>37871</v>
      </c>
      <c r="N2294">
        <v>2003</v>
      </c>
    </row>
    <row r="2295" spans="1:14">
      <c r="A2295" t="s">
        <v>14</v>
      </c>
      <c r="B2295" t="str">
        <f>"112907200301"</f>
        <v>112907200301</v>
      </c>
      <c r="C2295" t="s">
        <v>2424</v>
      </c>
      <c r="D2295" t="s">
        <v>209</v>
      </c>
      <c r="G2295" t="s">
        <v>17</v>
      </c>
      <c r="H2295" t="s">
        <v>51</v>
      </c>
      <c r="I2295" t="s">
        <v>189</v>
      </c>
      <c r="J2295" t="s">
        <v>190</v>
      </c>
      <c r="K2295" t="s">
        <v>191</v>
      </c>
      <c r="L2295" t="s">
        <v>22</v>
      </c>
      <c r="M2295" s="1">
        <v>37831</v>
      </c>
      <c r="N2295">
        <v>2003</v>
      </c>
    </row>
    <row r="2296" spans="1:14">
      <c r="A2296" t="s">
        <v>14</v>
      </c>
      <c r="B2296" t="str">
        <f>"111107200300"</f>
        <v>111107200300</v>
      </c>
      <c r="C2296" t="s">
        <v>2431</v>
      </c>
      <c r="D2296" t="s">
        <v>95</v>
      </c>
      <c r="G2296" t="s">
        <v>17</v>
      </c>
      <c r="H2296" t="s">
        <v>51</v>
      </c>
      <c r="I2296" t="s">
        <v>189</v>
      </c>
      <c r="J2296" t="s">
        <v>190</v>
      </c>
      <c r="K2296" t="s">
        <v>272</v>
      </c>
      <c r="L2296" t="s">
        <v>22</v>
      </c>
      <c r="M2296" s="1">
        <v>37813</v>
      </c>
      <c r="N2296">
        <v>2003</v>
      </c>
    </row>
    <row r="2297" spans="1:14">
      <c r="A2297" t="s">
        <v>14</v>
      </c>
      <c r="B2297" t="str">
        <f>"110309200203"</f>
        <v>110309200203</v>
      </c>
      <c r="C2297" t="s">
        <v>2455</v>
      </c>
      <c r="D2297" t="s">
        <v>100</v>
      </c>
      <c r="G2297" t="s">
        <v>17</v>
      </c>
      <c r="H2297" t="s">
        <v>51</v>
      </c>
      <c r="I2297" t="s">
        <v>189</v>
      </c>
      <c r="J2297" t="s">
        <v>190</v>
      </c>
      <c r="K2297" t="s">
        <v>1178</v>
      </c>
      <c r="L2297" t="s">
        <v>22</v>
      </c>
      <c r="M2297" s="1">
        <v>37502</v>
      </c>
      <c r="N2297">
        <v>2002</v>
      </c>
    </row>
    <row r="2298" spans="1:14">
      <c r="A2298" t="s">
        <v>14</v>
      </c>
      <c r="B2298" t="str">
        <f>"111401200202"</f>
        <v>111401200202</v>
      </c>
      <c r="C2298" t="s">
        <v>2462</v>
      </c>
      <c r="D2298" t="s">
        <v>259</v>
      </c>
      <c r="G2298" t="s">
        <v>17</v>
      </c>
      <c r="H2298" t="s">
        <v>51</v>
      </c>
      <c r="I2298" t="s">
        <v>189</v>
      </c>
      <c r="J2298" t="s">
        <v>190</v>
      </c>
      <c r="K2298" t="s">
        <v>272</v>
      </c>
      <c r="L2298" t="s">
        <v>63</v>
      </c>
      <c r="M2298" s="1">
        <v>37270</v>
      </c>
      <c r="N2298">
        <v>2002</v>
      </c>
    </row>
    <row r="2299" spans="1:14">
      <c r="A2299" t="s">
        <v>14</v>
      </c>
      <c r="B2299" t="str">
        <f>"110506200300"</f>
        <v>110506200300</v>
      </c>
      <c r="C2299" t="s">
        <v>2495</v>
      </c>
      <c r="D2299" t="s">
        <v>221</v>
      </c>
      <c r="G2299" t="s">
        <v>17</v>
      </c>
      <c r="H2299" t="s">
        <v>51</v>
      </c>
      <c r="I2299" t="s">
        <v>189</v>
      </c>
      <c r="J2299" t="s">
        <v>190</v>
      </c>
      <c r="K2299" t="s">
        <v>272</v>
      </c>
      <c r="L2299" t="s">
        <v>63</v>
      </c>
      <c r="M2299" s="1">
        <v>37777</v>
      </c>
      <c r="N2299">
        <v>2003</v>
      </c>
    </row>
    <row r="2300" spans="1:14">
      <c r="A2300" t="s">
        <v>14</v>
      </c>
      <c r="B2300" t="str">
        <f>"111705200201"</f>
        <v>111705200201</v>
      </c>
      <c r="C2300" t="s">
        <v>2525</v>
      </c>
      <c r="D2300" t="s">
        <v>445</v>
      </c>
      <c r="G2300" t="s">
        <v>17</v>
      </c>
      <c r="H2300" t="s">
        <v>51</v>
      </c>
      <c r="I2300" t="s">
        <v>189</v>
      </c>
      <c r="J2300" t="s">
        <v>190</v>
      </c>
      <c r="K2300" t="s">
        <v>2526</v>
      </c>
      <c r="L2300" t="s">
        <v>22</v>
      </c>
      <c r="M2300" s="1">
        <v>37393</v>
      </c>
      <c r="N2300">
        <v>2002</v>
      </c>
    </row>
    <row r="2301" spans="1:14">
      <c r="A2301" t="s">
        <v>14</v>
      </c>
      <c r="B2301" t="str">
        <f>"110904200201"</f>
        <v>110904200201</v>
      </c>
      <c r="C2301" t="s">
        <v>2571</v>
      </c>
      <c r="D2301" t="s">
        <v>283</v>
      </c>
      <c r="G2301" t="s">
        <v>17</v>
      </c>
      <c r="H2301" t="s">
        <v>51</v>
      </c>
      <c r="I2301" t="s">
        <v>189</v>
      </c>
      <c r="J2301" t="s">
        <v>190</v>
      </c>
      <c r="K2301" t="s">
        <v>272</v>
      </c>
      <c r="L2301" t="s">
        <v>63</v>
      </c>
      <c r="M2301" s="1">
        <v>37355</v>
      </c>
      <c r="N2301">
        <v>2002</v>
      </c>
    </row>
    <row r="2302" spans="1:14">
      <c r="A2302" t="s">
        <v>14</v>
      </c>
      <c r="B2302" t="str">
        <f>"111710200200"</f>
        <v>111710200200</v>
      </c>
      <c r="C2302" t="s">
        <v>2572</v>
      </c>
      <c r="D2302" t="s">
        <v>16</v>
      </c>
      <c r="G2302" t="s">
        <v>17</v>
      </c>
      <c r="H2302" t="s">
        <v>51</v>
      </c>
      <c r="I2302" t="s">
        <v>189</v>
      </c>
      <c r="J2302" t="s">
        <v>190</v>
      </c>
      <c r="K2302" t="s">
        <v>272</v>
      </c>
      <c r="L2302" t="s">
        <v>63</v>
      </c>
      <c r="M2302" s="1">
        <v>37546</v>
      </c>
      <c r="N2302">
        <v>2002</v>
      </c>
    </row>
    <row r="2303" spans="1:14">
      <c r="A2303" t="s">
        <v>14</v>
      </c>
      <c r="B2303" t="str">
        <f>"111103200300"</f>
        <v>111103200300</v>
      </c>
      <c r="C2303" t="s">
        <v>2748</v>
      </c>
      <c r="D2303" t="s">
        <v>53</v>
      </c>
      <c r="G2303" t="s">
        <v>17</v>
      </c>
      <c r="H2303" t="s">
        <v>51</v>
      </c>
      <c r="I2303" t="s">
        <v>189</v>
      </c>
      <c r="J2303" t="s">
        <v>190</v>
      </c>
      <c r="K2303" t="s">
        <v>191</v>
      </c>
      <c r="L2303" t="s">
        <v>22</v>
      </c>
      <c r="M2303" s="1">
        <v>37691</v>
      </c>
      <c r="N2303">
        <v>2003</v>
      </c>
    </row>
    <row r="2304" spans="1:14">
      <c r="A2304" t="s">
        <v>14</v>
      </c>
      <c r="B2304" t="str">
        <f>"111408200201"</f>
        <v>111408200201</v>
      </c>
      <c r="C2304" t="s">
        <v>2786</v>
      </c>
      <c r="D2304" t="s">
        <v>889</v>
      </c>
      <c r="G2304" t="s">
        <v>17</v>
      </c>
      <c r="H2304" t="s">
        <v>51</v>
      </c>
      <c r="I2304" t="s">
        <v>189</v>
      </c>
      <c r="J2304" t="s">
        <v>190</v>
      </c>
      <c r="K2304" t="s">
        <v>272</v>
      </c>
      <c r="L2304" t="s">
        <v>63</v>
      </c>
      <c r="M2304" s="1">
        <v>37482</v>
      </c>
      <c r="N2304">
        <v>2002</v>
      </c>
    </row>
    <row r="2305" spans="1:14">
      <c r="A2305" t="s">
        <v>14</v>
      </c>
      <c r="B2305" t="str">
        <f>"112407200202"</f>
        <v>112407200202</v>
      </c>
      <c r="C2305" t="s">
        <v>2788</v>
      </c>
      <c r="D2305" t="s">
        <v>155</v>
      </c>
      <c r="G2305" t="s">
        <v>17</v>
      </c>
      <c r="H2305" t="s">
        <v>51</v>
      </c>
      <c r="I2305" t="s">
        <v>189</v>
      </c>
      <c r="J2305" t="s">
        <v>190</v>
      </c>
      <c r="K2305" t="s">
        <v>191</v>
      </c>
      <c r="L2305" t="s">
        <v>22</v>
      </c>
      <c r="M2305" s="1">
        <v>37461</v>
      </c>
      <c r="N2305">
        <v>2002</v>
      </c>
    </row>
    <row r="2306" spans="1:14">
      <c r="A2306" t="s">
        <v>14</v>
      </c>
      <c r="B2306" t="str">
        <f>"120506200400"</f>
        <v>120506200400</v>
      </c>
      <c r="C2306" t="s">
        <v>924</v>
      </c>
      <c r="D2306" t="s">
        <v>205</v>
      </c>
      <c r="G2306" t="s">
        <v>32</v>
      </c>
      <c r="H2306" t="s">
        <v>33</v>
      </c>
      <c r="I2306" t="s">
        <v>40</v>
      </c>
      <c r="J2306" t="s">
        <v>41</v>
      </c>
      <c r="K2306" t="s">
        <v>42</v>
      </c>
      <c r="L2306" t="s">
        <v>22</v>
      </c>
      <c r="M2306" s="1">
        <v>38143</v>
      </c>
      <c r="N2306">
        <v>2004</v>
      </c>
    </row>
    <row r="2307" spans="1:14">
      <c r="A2307" t="s">
        <v>14</v>
      </c>
      <c r="B2307" t="str">
        <f>"121102200500"</f>
        <v>121102200500</v>
      </c>
      <c r="C2307" t="s">
        <v>1291</v>
      </c>
      <c r="D2307" t="s">
        <v>611</v>
      </c>
      <c r="G2307" t="s">
        <v>32</v>
      </c>
      <c r="H2307" t="s">
        <v>33</v>
      </c>
      <c r="I2307" t="s">
        <v>40</v>
      </c>
      <c r="J2307" t="s">
        <v>41</v>
      </c>
      <c r="K2307" t="s">
        <v>1292</v>
      </c>
      <c r="M2307" s="1">
        <v>38394</v>
      </c>
      <c r="N2307">
        <v>2005</v>
      </c>
    </row>
    <row r="2308" spans="1:14">
      <c r="A2308" t="s">
        <v>14</v>
      </c>
      <c r="B2308" t="str">
        <f>"121011200500"</f>
        <v>121011200500</v>
      </c>
      <c r="C2308" t="s">
        <v>1544</v>
      </c>
      <c r="D2308" t="s">
        <v>203</v>
      </c>
      <c r="G2308" t="s">
        <v>32</v>
      </c>
      <c r="H2308" t="s">
        <v>33</v>
      </c>
      <c r="I2308" t="s">
        <v>40</v>
      </c>
      <c r="J2308" t="s">
        <v>41</v>
      </c>
      <c r="K2308" t="s">
        <v>42</v>
      </c>
      <c r="M2308" s="1">
        <v>38666</v>
      </c>
      <c r="N2308">
        <v>2005</v>
      </c>
    </row>
    <row r="2309" spans="1:14">
      <c r="A2309" t="s">
        <v>14</v>
      </c>
      <c r="B2309" t="str">
        <f>"120209200402"</f>
        <v>120209200402</v>
      </c>
      <c r="C2309" t="s">
        <v>1726</v>
      </c>
      <c r="D2309" t="s">
        <v>64</v>
      </c>
      <c r="G2309" t="s">
        <v>32</v>
      </c>
      <c r="H2309" t="s">
        <v>33</v>
      </c>
      <c r="I2309" t="s">
        <v>40</v>
      </c>
      <c r="J2309" t="s">
        <v>41</v>
      </c>
      <c r="K2309" t="s">
        <v>404</v>
      </c>
      <c r="L2309" t="s">
        <v>22</v>
      </c>
      <c r="M2309" s="1">
        <v>38232</v>
      </c>
      <c r="N2309">
        <v>2004</v>
      </c>
    </row>
    <row r="2310" spans="1:14">
      <c r="A2310" t="s">
        <v>14</v>
      </c>
      <c r="B2310" t="str">
        <f>"120905200500"</f>
        <v>120905200500</v>
      </c>
      <c r="C2310" t="s">
        <v>1825</v>
      </c>
      <c r="D2310" t="s">
        <v>1174</v>
      </c>
      <c r="G2310" t="s">
        <v>32</v>
      </c>
      <c r="H2310" t="s">
        <v>33</v>
      </c>
      <c r="I2310" t="s">
        <v>40</v>
      </c>
      <c r="J2310" t="s">
        <v>41</v>
      </c>
      <c r="K2310" t="s">
        <v>1292</v>
      </c>
      <c r="M2310" s="1">
        <v>38481</v>
      </c>
      <c r="N2310">
        <v>2005</v>
      </c>
    </row>
    <row r="2311" spans="1:14">
      <c r="A2311" t="s">
        <v>14</v>
      </c>
      <c r="B2311" t="str">
        <f>"121308200400"</f>
        <v>121308200400</v>
      </c>
      <c r="C2311" t="s">
        <v>1995</v>
      </c>
      <c r="D2311" t="s">
        <v>127</v>
      </c>
      <c r="G2311" t="s">
        <v>32</v>
      </c>
      <c r="H2311" t="s">
        <v>33</v>
      </c>
      <c r="I2311" t="s">
        <v>40</v>
      </c>
      <c r="J2311" t="s">
        <v>41</v>
      </c>
      <c r="K2311" t="s">
        <v>1292</v>
      </c>
      <c r="M2311" s="1">
        <v>38212</v>
      </c>
      <c r="N2311">
        <v>2004</v>
      </c>
    </row>
    <row r="2312" spans="1:14">
      <c r="A2312" t="s">
        <v>14</v>
      </c>
      <c r="B2312" t="str">
        <f>"120108200401"</f>
        <v>120108200401</v>
      </c>
      <c r="C2312" t="s">
        <v>2013</v>
      </c>
      <c r="D2312" t="s">
        <v>143</v>
      </c>
      <c r="G2312" t="s">
        <v>32</v>
      </c>
      <c r="H2312" t="s">
        <v>33</v>
      </c>
      <c r="I2312" t="s">
        <v>40</v>
      </c>
      <c r="J2312" t="s">
        <v>41</v>
      </c>
      <c r="K2312" t="s">
        <v>1292</v>
      </c>
      <c r="M2312" s="1">
        <v>38200</v>
      </c>
      <c r="N2312">
        <v>2004</v>
      </c>
    </row>
    <row r="2313" spans="1:14">
      <c r="A2313" t="s">
        <v>14</v>
      </c>
      <c r="B2313" t="str">
        <f>"123011200400"</f>
        <v>123011200400</v>
      </c>
      <c r="C2313" t="s">
        <v>2757</v>
      </c>
      <c r="D2313" t="s">
        <v>64</v>
      </c>
      <c r="G2313" t="s">
        <v>32</v>
      </c>
      <c r="H2313" t="s">
        <v>33</v>
      </c>
      <c r="I2313" t="s">
        <v>40</v>
      </c>
      <c r="J2313" t="s">
        <v>41</v>
      </c>
      <c r="K2313" t="s">
        <v>42</v>
      </c>
      <c r="M2313" s="1">
        <v>38321</v>
      </c>
      <c r="N2313">
        <v>2004</v>
      </c>
    </row>
    <row r="2314" spans="1:14">
      <c r="A2314" t="s">
        <v>14</v>
      </c>
      <c r="B2314" t="str">
        <f>"122809200500"</f>
        <v>122809200500</v>
      </c>
      <c r="C2314" t="s">
        <v>2853</v>
      </c>
      <c r="D2314" t="s">
        <v>184</v>
      </c>
      <c r="G2314" t="s">
        <v>32</v>
      </c>
      <c r="H2314" t="s">
        <v>33</v>
      </c>
      <c r="I2314" t="s">
        <v>40</v>
      </c>
      <c r="J2314" t="s">
        <v>41</v>
      </c>
      <c r="K2314" t="s">
        <v>42</v>
      </c>
      <c r="M2314" s="1">
        <v>38623</v>
      </c>
      <c r="N2314">
        <v>2005</v>
      </c>
    </row>
    <row r="2315" spans="1:14">
      <c r="A2315" t="s">
        <v>14</v>
      </c>
      <c r="B2315" t="str">
        <f>"120902200401"</f>
        <v>120902200401</v>
      </c>
      <c r="C2315" t="s">
        <v>2883</v>
      </c>
      <c r="D2315" t="s">
        <v>184</v>
      </c>
      <c r="G2315" t="s">
        <v>32</v>
      </c>
      <c r="H2315" t="s">
        <v>33</v>
      </c>
      <c r="I2315" t="s">
        <v>40</v>
      </c>
      <c r="J2315" t="s">
        <v>41</v>
      </c>
      <c r="K2315" t="s">
        <v>42</v>
      </c>
      <c r="L2315" t="s">
        <v>22</v>
      </c>
      <c r="M2315" s="1">
        <v>38026</v>
      </c>
      <c r="N2315">
        <v>2004</v>
      </c>
    </row>
    <row r="2316" spans="1:14">
      <c r="A2316" t="s">
        <v>14</v>
      </c>
      <c r="B2316" t="str">
        <f>"122108200200"</f>
        <v>122108200200</v>
      </c>
      <c r="C2316" t="s">
        <v>405</v>
      </c>
      <c r="D2316" t="s">
        <v>58</v>
      </c>
      <c r="G2316" t="s">
        <v>32</v>
      </c>
      <c r="H2316" t="s">
        <v>65</v>
      </c>
      <c r="I2316" t="s">
        <v>40</v>
      </c>
      <c r="J2316" t="s">
        <v>41</v>
      </c>
      <c r="K2316" t="s">
        <v>404</v>
      </c>
      <c r="L2316" t="s">
        <v>22</v>
      </c>
      <c r="M2316" s="1">
        <v>37489</v>
      </c>
      <c r="N2316">
        <v>2002</v>
      </c>
    </row>
    <row r="2317" spans="1:14">
      <c r="A2317" t="s">
        <v>14</v>
      </c>
      <c r="B2317" t="str">
        <f>"122510200201"</f>
        <v>122510200201</v>
      </c>
      <c r="C2317" t="s">
        <v>627</v>
      </c>
      <c r="D2317" t="s">
        <v>611</v>
      </c>
      <c r="G2317" t="s">
        <v>32</v>
      </c>
      <c r="H2317" t="s">
        <v>65</v>
      </c>
      <c r="I2317" t="s">
        <v>40</v>
      </c>
      <c r="J2317" t="s">
        <v>41</v>
      </c>
      <c r="K2317" t="s">
        <v>404</v>
      </c>
      <c r="M2317" s="1">
        <v>37554</v>
      </c>
      <c r="N2317">
        <v>2002</v>
      </c>
    </row>
    <row r="2318" spans="1:14">
      <c r="A2318" t="s">
        <v>14</v>
      </c>
      <c r="B2318" t="str">
        <f>"120810200301"</f>
        <v>120810200301</v>
      </c>
      <c r="C2318" t="s">
        <v>1600</v>
      </c>
      <c r="D2318" t="s">
        <v>380</v>
      </c>
      <c r="G2318" t="s">
        <v>32</v>
      </c>
      <c r="H2318" t="s">
        <v>65</v>
      </c>
      <c r="I2318" t="s">
        <v>40</v>
      </c>
      <c r="J2318" t="s">
        <v>41</v>
      </c>
      <c r="K2318" t="s">
        <v>983</v>
      </c>
      <c r="L2318" t="s">
        <v>22</v>
      </c>
      <c r="M2318" s="1">
        <v>37902</v>
      </c>
      <c r="N2318">
        <v>2003</v>
      </c>
    </row>
    <row r="2319" spans="1:14">
      <c r="A2319" t="s">
        <v>14</v>
      </c>
      <c r="B2319" t="str">
        <f>"122209200200"</f>
        <v>122209200200</v>
      </c>
      <c r="C2319" t="s">
        <v>1714</v>
      </c>
      <c r="D2319" t="s">
        <v>58</v>
      </c>
      <c r="G2319" t="s">
        <v>32</v>
      </c>
      <c r="H2319" t="s">
        <v>65</v>
      </c>
      <c r="I2319" t="s">
        <v>40</v>
      </c>
      <c r="J2319" t="s">
        <v>41</v>
      </c>
      <c r="K2319" t="s">
        <v>404</v>
      </c>
      <c r="L2319" t="s">
        <v>22</v>
      </c>
      <c r="M2319" s="1">
        <v>37521</v>
      </c>
      <c r="N2319">
        <v>2002</v>
      </c>
    </row>
    <row r="2320" spans="1:14">
      <c r="A2320" t="s">
        <v>14</v>
      </c>
      <c r="B2320" t="str">
        <f>"121104200200"</f>
        <v>121104200200</v>
      </c>
      <c r="C2320" t="s">
        <v>1769</v>
      </c>
      <c r="D2320" t="s">
        <v>380</v>
      </c>
      <c r="G2320" t="s">
        <v>32</v>
      </c>
      <c r="H2320" t="s">
        <v>65</v>
      </c>
      <c r="I2320" t="s">
        <v>40</v>
      </c>
      <c r="J2320" t="s">
        <v>41</v>
      </c>
      <c r="K2320" t="s">
        <v>404</v>
      </c>
      <c r="M2320" s="1">
        <v>37357</v>
      </c>
      <c r="N2320">
        <v>2002</v>
      </c>
    </row>
    <row r="2321" spans="1:14">
      <c r="A2321" t="s">
        <v>14</v>
      </c>
      <c r="B2321" t="str">
        <f>"122711200200"</f>
        <v>122711200200</v>
      </c>
      <c r="C2321" t="s">
        <v>2171</v>
      </c>
      <c r="D2321" t="s">
        <v>64</v>
      </c>
      <c r="G2321" t="s">
        <v>32</v>
      </c>
      <c r="H2321" t="s">
        <v>65</v>
      </c>
      <c r="I2321" t="s">
        <v>40</v>
      </c>
      <c r="J2321" t="s">
        <v>41</v>
      </c>
      <c r="K2321" t="s">
        <v>404</v>
      </c>
      <c r="L2321" t="s">
        <v>22</v>
      </c>
      <c r="M2321" s="1">
        <v>37587</v>
      </c>
      <c r="N2321">
        <v>2002</v>
      </c>
    </row>
    <row r="2322" spans="1:14">
      <c r="A2322" t="s">
        <v>14</v>
      </c>
      <c r="B2322" t="str">
        <f>"122106200202"</f>
        <v>122106200202</v>
      </c>
      <c r="C2322" t="s">
        <v>2542</v>
      </c>
      <c r="D2322" t="s">
        <v>64</v>
      </c>
      <c r="G2322" t="s">
        <v>32</v>
      </c>
      <c r="H2322" t="s">
        <v>65</v>
      </c>
      <c r="I2322" t="s">
        <v>40</v>
      </c>
      <c r="J2322" t="s">
        <v>41</v>
      </c>
      <c r="K2322" t="s">
        <v>983</v>
      </c>
      <c r="L2322" t="s">
        <v>22</v>
      </c>
      <c r="M2322" s="1">
        <v>37428</v>
      </c>
      <c r="N2322">
        <v>2002</v>
      </c>
    </row>
    <row r="2323" spans="1:14">
      <c r="A2323" t="s">
        <v>14</v>
      </c>
      <c r="B2323" t="str">
        <f>"121706200300"</f>
        <v>121706200300</v>
      </c>
      <c r="C2323" t="s">
        <v>2800</v>
      </c>
      <c r="D2323" t="s">
        <v>184</v>
      </c>
      <c r="G2323" t="s">
        <v>32</v>
      </c>
      <c r="H2323" t="s">
        <v>65</v>
      </c>
      <c r="I2323" t="s">
        <v>40</v>
      </c>
      <c r="J2323" t="s">
        <v>41</v>
      </c>
      <c r="K2323" t="s">
        <v>42</v>
      </c>
      <c r="M2323" s="1">
        <v>37789</v>
      </c>
      <c r="N2323">
        <v>2003</v>
      </c>
    </row>
    <row r="2324" spans="1:14">
      <c r="A2324" t="s">
        <v>14</v>
      </c>
      <c r="B2324" t="str">
        <f>"121202199700"</f>
        <v>121202199700</v>
      </c>
      <c r="C2324" t="s">
        <v>509</v>
      </c>
      <c r="D2324" t="s">
        <v>510</v>
      </c>
      <c r="G2324" t="s">
        <v>32</v>
      </c>
      <c r="H2324" t="s">
        <v>59</v>
      </c>
      <c r="I2324" t="s">
        <v>40</v>
      </c>
      <c r="J2324" t="s">
        <v>41</v>
      </c>
      <c r="K2324" t="s">
        <v>404</v>
      </c>
      <c r="L2324" t="s">
        <v>22</v>
      </c>
      <c r="M2324" s="1">
        <v>35473</v>
      </c>
      <c r="N2324">
        <v>1997</v>
      </c>
    </row>
    <row r="2325" spans="1:14">
      <c r="A2325" t="s">
        <v>14</v>
      </c>
      <c r="B2325" t="str">
        <f>"121606199400"</f>
        <v>121606199400</v>
      </c>
      <c r="C2325" t="s">
        <v>960</v>
      </c>
      <c r="D2325" t="s">
        <v>510</v>
      </c>
      <c r="G2325" t="s">
        <v>32</v>
      </c>
      <c r="H2325" t="s">
        <v>59</v>
      </c>
      <c r="I2325" t="s">
        <v>40</v>
      </c>
      <c r="J2325" t="s">
        <v>41</v>
      </c>
      <c r="K2325" t="s">
        <v>404</v>
      </c>
      <c r="L2325" t="s">
        <v>48</v>
      </c>
      <c r="M2325" s="1">
        <v>34501</v>
      </c>
      <c r="N2325">
        <v>1994</v>
      </c>
    </row>
    <row r="2326" spans="1:14">
      <c r="A2326" t="s">
        <v>14</v>
      </c>
      <c r="B2326" t="str">
        <f>"121409199800"</f>
        <v>121409199800</v>
      </c>
      <c r="C2326" t="s">
        <v>1492</v>
      </c>
      <c r="D2326" t="s">
        <v>385</v>
      </c>
      <c r="G2326" t="s">
        <v>32</v>
      </c>
      <c r="H2326" t="s">
        <v>59</v>
      </c>
      <c r="I2326" t="s">
        <v>40</v>
      </c>
      <c r="J2326" t="s">
        <v>41</v>
      </c>
      <c r="K2326" t="s">
        <v>404</v>
      </c>
      <c r="L2326" t="s">
        <v>22</v>
      </c>
      <c r="M2326" s="1">
        <v>36052</v>
      </c>
      <c r="N2326">
        <v>1998</v>
      </c>
    </row>
    <row r="2327" spans="1:14">
      <c r="A2327" t="s">
        <v>14</v>
      </c>
      <c r="B2327" t="str">
        <f>"121710199600"</f>
        <v>121710199600</v>
      </c>
      <c r="C2327" t="s">
        <v>2311</v>
      </c>
      <c r="D2327" t="s">
        <v>233</v>
      </c>
      <c r="G2327" t="s">
        <v>32</v>
      </c>
      <c r="H2327" t="s">
        <v>59</v>
      </c>
      <c r="I2327" t="s">
        <v>40</v>
      </c>
      <c r="J2327" t="s">
        <v>41</v>
      </c>
      <c r="K2327" t="s">
        <v>404</v>
      </c>
      <c r="L2327" t="s">
        <v>22</v>
      </c>
      <c r="M2327" s="1">
        <v>35355</v>
      </c>
      <c r="N2327">
        <v>1996</v>
      </c>
    </row>
    <row r="2328" spans="1:14">
      <c r="A2328" t="s">
        <v>14</v>
      </c>
      <c r="B2328" t="str">
        <f>"120908200000"</f>
        <v>120908200000</v>
      </c>
      <c r="C2328" t="s">
        <v>325</v>
      </c>
      <c r="D2328" t="s">
        <v>326</v>
      </c>
      <c r="G2328" t="s">
        <v>32</v>
      </c>
      <c r="H2328" t="s">
        <v>44</v>
      </c>
      <c r="I2328" t="s">
        <v>40</v>
      </c>
      <c r="J2328" t="s">
        <v>41</v>
      </c>
      <c r="K2328" t="s">
        <v>327</v>
      </c>
      <c r="L2328" t="s">
        <v>48</v>
      </c>
      <c r="M2328" s="1">
        <v>36747</v>
      </c>
      <c r="N2328">
        <v>2000</v>
      </c>
    </row>
    <row r="2329" spans="1:14">
      <c r="A2329" t="s">
        <v>14</v>
      </c>
      <c r="B2329" t="str">
        <f>"121204200100"</f>
        <v>121204200100</v>
      </c>
      <c r="C2329" t="s">
        <v>1311</v>
      </c>
      <c r="D2329" t="s">
        <v>510</v>
      </c>
      <c r="G2329" t="s">
        <v>32</v>
      </c>
      <c r="H2329" t="s">
        <v>44</v>
      </c>
      <c r="I2329" t="s">
        <v>40</v>
      </c>
      <c r="J2329" t="s">
        <v>41</v>
      </c>
      <c r="K2329" t="s">
        <v>404</v>
      </c>
      <c r="L2329" t="s">
        <v>63</v>
      </c>
      <c r="M2329" s="1">
        <v>36993</v>
      </c>
      <c r="N2329">
        <v>2001</v>
      </c>
    </row>
    <row r="2330" spans="1:14">
      <c r="A2330" t="s">
        <v>14</v>
      </c>
      <c r="B2330" t="str">
        <f>"120208199900"</f>
        <v>120208199900</v>
      </c>
      <c r="C2330" t="s">
        <v>1605</v>
      </c>
      <c r="D2330" t="s">
        <v>58</v>
      </c>
      <c r="G2330" t="s">
        <v>32</v>
      </c>
      <c r="H2330" t="s">
        <v>44</v>
      </c>
      <c r="I2330" t="s">
        <v>40</v>
      </c>
      <c r="J2330" t="s">
        <v>41</v>
      </c>
      <c r="K2330" t="s">
        <v>983</v>
      </c>
      <c r="L2330" t="s">
        <v>63</v>
      </c>
      <c r="M2330" s="1">
        <v>36374</v>
      </c>
      <c r="N2330">
        <v>1999</v>
      </c>
    </row>
    <row r="2331" spans="1:14">
      <c r="A2331" t="s">
        <v>14</v>
      </c>
      <c r="B2331" t="str">
        <f>"122002200101"</f>
        <v>122002200101</v>
      </c>
      <c r="C2331" t="s">
        <v>1957</v>
      </c>
      <c r="D2331" t="s">
        <v>1958</v>
      </c>
      <c r="G2331" t="s">
        <v>32</v>
      </c>
      <c r="H2331" t="s">
        <v>44</v>
      </c>
      <c r="I2331" t="s">
        <v>40</v>
      </c>
      <c r="J2331" t="s">
        <v>41</v>
      </c>
      <c r="K2331" t="s">
        <v>404</v>
      </c>
      <c r="M2331" s="1">
        <v>36942</v>
      </c>
      <c r="N2331">
        <v>2001</v>
      </c>
    </row>
    <row r="2332" spans="1:14">
      <c r="A2332" t="s">
        <v>14</v>
      </c>
      <c r="B2332" t="str">
        <f>"121903200100"</f>
        <v>121903200100</v>
      </c>
      <c r="C2332" t="s">
        <v>2653</v>
      </c>
      <c r="D2332" t="s">
        <v>380</v>
      </c>
      <c r="G2332" t="s">
        <v>32</v>
      </c>
      <c r="H2332" t="s">
        <v>44</v>
      </c>
      <c r="I2332" t="s">
        <v>40</v>
      </c>
      <c r="J2332" t="s">
        <v>41</v>
      </c>
      <c r="K2332" t="s">
        <v>983</v>
      </c>
      <c r="L2332" t="s">
        <v>22</v>
      </c>
      <c r="M2332" s="1">
        <v>36969</v>
      </c>
      <c r="N2332">
        <v>2001</v>
      </c>
    </row>
    <row r="2333" spans="1:14">
      <c r="A2333" t="s">
        <v>14</v>
      </c>
      <c r="B2333" t="str">
        <f>"111111199400"</f>
        <v>111111199400</v>
      </c>
      <c r="C2333" t="s">
        <v>763</v>
      </c>
      <c r="D2333" t="s">
        <v>53</v>
      </c>
      <c r="G2333" t="s">
        <v>17</v>
      </c>
      <c r="H2333" t="s">
        <v>25</v>
      </c>
      <c r="I2333" t="s">
        <v>40</v>
      </c>
      <c r="J2333" t="s">
        <v>41</v>
      </c>
      <c r="K2333" t="s">
        <v>404</v>
      </c>
      <c r="L2333" t="s">
        <v>48</v>
      </c>
      <c r="M2333" s="1">
        <v>34649</v>
      </c>
      <c r="N2333">
        <v>1994</v>
      </c>
    </row>
    <row r="2334" spans="1:14">
      <c r="A2334" t="s">
        <v>14</v>
      </c>
      <c r="B2334" t="str">
        <f>"113008199700"</f>
        <v>113008199700</v>
      </c>
      <c r="C2334" t="s">
        <v>2058</v>
      </c>
      <c r="D2334" t="s">
        <v>115</v>
      </c>
      <c r="G2334" t="s">
        <v>17</v>
      </c>
      <c r="H2334" t="s">
        <v>25</v>
      </c>
      <c r="I2334" t="s">
        <v>40</v>
      </c>
      <c r="J2334" t="s">
        <v>41</v>
      </c>
      <c r="K2334" t="s">
        <v>404</v>
      </c>
      <c r="L2334" t="s">
        <v>63</v>
      </c>
      <c r="M2334" s="1">
        <v>35672</v>
      </c>
      <c r="N2334">
        <v>1997</v>
      </c>
    </row>
    <row r="2335" spans="1:14">
      <c r="A2335" t="s">
        <v>14</v>
      </c>
      <c r="B2335" t="str">
        <f>"111806199300"</f>
        <v>111806199300</v>
      </c>
      <c r="C2335" t="s">
        <v>2489</v>
      </c>
      <c r="D2335" t="s">
        <v>120</v>
      </c>
      <c r="G2335" t="s">
        <v>17</v>
      </c>
      <c r="H2335" t="s">
        <v>25</v>
      </c>
      <c r="I2335" t="s">
        <v>40</v>
      </c>
      <c r="J2335" t="s">
        <v>41</v>
      </c>
      <c r="K2335" t="s">
        <v>404</v>
      </c>
      <c r="L2335" t="s">
        <v>48</v>
      </c>
      <c r="M2335" s="1">
        <v>34138</v>
      </c>
      <c r="N2335">
        <v>1993</v>
      </c>
    </row>
    <row r="2336" spans="1:14">
      <c r="A2336" t="s">
        <v>14</v>
      </c>
      <c r="B2336" t="str">
        <f>"111801199500"</f>
        <v>111801199500</v>
      </c>
      <c r="C2336" t="s">
        <v>2564</v>
      </c>
      <c r="D2336" t="s">
        <v>617</v>
      </c>
      <c r="G2336" t="s">
        <v>17</v>
      </c>
      <c r="H2336" t="s">
        <v>25</v>
      </c>
      <c r="I2336" t="s">
        <v>40</v>
      </c>
      <c r="J2336" t="s">
        <v>41</v>
      </c>
      <c r="K2336" t="s">
        <v>404</v>
      </c>
      <c r="L2336" t="s">
        <v>48</v>
      </c>
      <c r="M2336" s="1">
        <v>34717</v>
      </c>
      <c r="N2336">
        <v>1995</v>
      </c>
    </row>
    <row r="2337" spans="1:14">
      <c r="A2337" t="s">
        <v>14</v>
      </c>
      <c r="B2337" t="str">
        <f>"112903197600"</f>
        <v>112903197600</v>
      </c>
      <c r="C2337" t="s">
        <v>2567</v>
      </c>
      <c r="D2337" t="s">
        <v>292</v>
      </c>
      <c r="G2337" t="s">
        <v>17</v>
      </c>
      <c r="H2337" t="s">
        <v>25</v>
      </c>
      <c r="I2337" t="s">
        <v>40</v>
      </c>
      <c r="J2337" t="s">
        <v>41</v>
      </c>
      <c r="K2337" t="s">
        <v>1292</v>
      </c>
      <c r="M2337" s="1">
        <v>27848</v>
      </c>
      <c r="N2337">
        <v>1976</v>
      </c>
    </row>
    <row r="2338" spans="1:14">
      <c r="A2338" t="s">
        <v>14</v>
      </c>
      <c r="B2338" t="str">
        <f>"111406199701"</f>
        <v>111406199701</v>
      </c>
      <c r="C2338" t="s">
        <v>2801</v>
      </c>
      <c r="D2338" t="s">
        <v>2802</v>
      </c>
      <c r="G2338" t="s">
        <v>17</v>
      </c>
      <c r="H2338" t="s">
        <v>25</v>
      </c>
      <c r="I2338" t="s">
        <v>40</v>
      </c>
      <c r="J2338" t="s">
        <v>41</v>
      </c>
      <c r="K2338" t="s">
        <v>404</v>
      </c>
      <c r="L2338" t="s">
        <v>22</v>
      </c>
      <c r="M2338" s="1">
        <v>35595</v>
      </c>
      <c r="N2338">
        <v>1997</v>
      </c>
    </row>
    <row r="2339" spans="1:14">
      <c r="A2339" t="s">
        <v>14</v>
      </c>
      <c r="B2339" t="str">
        <f>"111902199302"</f>
        <v>111902199302</v>
      </c>
      <c r="C2339" t="s">
        <v>2880</v>
      </c>
      <c r="D2339" t="s">
        <v>403</v>
      </c>
      <c r="G2339" t="s">
        <v>17</v>
      </c>
      <c r="H2339" t="s">
        <v>25</v>
      </c>
      <c r="I2339" t="s">
        <v>40</v>
      </c>
      <c r="J2339" t="s">
        <v>41</v>
      </c>
      <c r="K2339" t="s">
        <v>2881</v>
      </c>
      <c r="L2339" t="s">
        <v>29</v>
      </c>
      <c r="M2339" s="1">
        <v>34019</v>
      </c>
      <c r="N2339">
        <v>1993</v>
      </c>
    </row>
    <row r="2340" spans="1:14">
      <c r="A2340" t="s">
        <v>14</v>
      </c>
      <c r="B2340" t="str">
        <f>"112604200100"</f>
        <v>112604200100</v>
      </c>
      <c r="C2340" t="s">
        <v>485</v>
      </c>
      <c r="D2340" t="s">
        <v>53</v>
      </c>
      <c r="G2340" t="s">
        <v>17</v>
      </c>
      <c r="H2340" t="s">
        <v>18</v>
      </c>
      <c r="I2340" t="s">
        <v>40</v>
      </c>
      <c r="J2340" t="s">
        <v>41</v>
      </c>
      <c r="K2340" t="s">
        <v>404</v>
      </c>
      <c r="L2340" t="s">
        <v>63</v>
      </c>
      <c r="M2340" s="1">
        <v>37007</v>
      </c>
      <c r="N2340">
        <v>2001</v>
      </c>
    </row>
    <row r="2341" spans="1:14">
      <c r="A2341" t="s">
        <v>14</v>
      </c>
      <c r="B2341" t="str">
        <f>"110911200002"</f>
        <v>110911200002</v>
      </c>
      <c r="C2341" t="s">
        <v>583</v>
      </c>
      <c r="D2341" t="s">
        <v>120</v>
      </c>
      <c r="G2341" t="s">
        <v>17</v>
      </c>
      <c r="H2341" t="s">
        <v>18</v>
      </c>
      <c r="I2341" t="s">
        <v>40</v>
      </c>
      <c r="J2341" t="s">
        <v>41</v>
      </c>
      <c r="K2341" t="s">
        <v>404</v>
      </c>
      <c r="L2341" t="s">
        <v>22</v>
      </c>
      <c r="M2341" s="1">
        <v>36839</v>
      </c>
      <c r="N2341">
        <v>2000</v>
      </c>
    </row>
    <row r="2342" spans="1:14">
      <c r="A2342" t="s">
        <v>14</v>
      </c>
      <c r="B2342" t="str">
        <f>"111406200100"</f>
        <v>111406200100</v>
      </c>
      <c r="C2342" t="s">
        <v>1138</v>
      </c>
      <c r="D2342" t="s">
        <v>120</v>
      </c>
      <c r="G2342" t="s">
        <v>17</v>
      </c>
      <c r="H2342" t="s">
        <v>18</v>
      </c>
      <c r="I2342" t="s">
        <v>40</v>
      </c>
      <c r="J2342" t="s">
        <v>41</v>
      </c>
      <c r="K2342" t="s">
        <v>404</v>
      </c>
      <c r="M2342" s="1">
        <v>37056</v>
      </c>
      <c r="N2342">
        <v>2001</v>
      </c>
    </row>
    <row r="2343" spans="1:14">
      <c r="A2343" t="s">
        <v>14</v>
      </c>
      <c r="B2343" t="str">
        <f>"111912200100"</f>
        <v>111912200100</v>
      </c>
      <c r="C2343" t="s">
        <v>1141</v>
      </c>
      <c r="D2343" t="s">
        <v>259</v>
      </c>
      <c r="G2343" t="s">
        <v>17</v>
      </c>
      <c r="H2343" t="s">
        <v>18</v>
      </c>
      <c r="I2343" t="s">
        <v>40</v>
      </c>
      <c r="J2343" t="s">
        <v>41</v>
      </c>
      <c r="K2343" t="s">
        <v>404</v>
      </c>
      <c r="L2343" t="s">
        <v>63</v>
      </c>
      <c r="M2343" s="1">
        <v>37244</v>
      </c>
      <c r="N2343">
        <v>2001</v>
      </c>
    </row>
    <row r="2344" spans="1:14">
      <c r="A2344" t="s">
        <v>14</v>
      </c>
      <c r="B2344" t="str">
        <f>"111904200101"</f>
        <v>111904200101</v>
      </c>
      <c r="C2344" t="s">
        <v>1305</v>
      </c>
      <c r="D2344" t="s">
        <v>129</v>
      </c>
      <c r="G2344" t="s">
        <v>17</v>
      </c>
      <c r="H2344" t="s">
        <v>18</v>
      </c>
      <c r="I2344" t="s">
        <v>40</v>
      </c>
      <c r="J2344" t="s">
        <v>41</v>
      </c>
      <c r="K2344" t="s">
        <v>42</v>
      </c>
      <c r="L2344" t="s">
        <v>22</v>
      </c>
      <c r="M2344" s="1">
        <v>37000</v>
      </c>
      <c r="N2344">
        <v>2001</v>
      </c>
    </row>
    <row r="2345" spans="1:14">
      <c r="A2345" t="s">
        <v>14</v>
      </c>
      <c r="B2345" t="str">
        <f>"110904199900"</f>
        <v>110904199900</v>
      </c>
      <c r="C2345" t="s">
        <v>1309</v>
      </c>
      <c r="D2345" t="s">
        <v>1310</v>
      </c>
      <c r="G2345" t="s">
        <v>17</v>
      </c>
      <c r="H2345" t="s">
        <v>18</v>
      </c>
      <c r="I2345" t="s">
        <v>40</v>
      </c>
      <c r="J2345" t="s">
        <v>41</v>
      </c>
      <c r="K2345" t="s">
        <v>404</v>
      </c>
      <c r="L2345" t="s">
        <v>22</v>
      </c>
      <c r="M2345" s="1">
        <v>36259</v>
      </c>
      <c r="N2345">
        <v>1999</v>
      </c>
    </row>
    <row r="2346" spans="1:14">
      <c r="A2346" t="s">
        <v>14</v>
      </c>
      <c r="B2346" t="str">
        <f>"112505200001"</f>
        <v>112505200001</v>
      </c>
      <c r="C2346" t="s">
        <v>1689</v>
      </c>
      <c r="D2346" t="s">
        <v>534</v>
      </c>
      <c r="G2346" t="s">
        <v>17</v>
      </c>
      <c r="H2346" t="s">
        <v>18</v>
      </c>
      <c r="I2346" t="s">
        <v>40</v>
      </c>
      <c r="J2346" t="s">
        <v>41</v>
      </c>
      <c r="K2346" t="s">
        <v>404</v>
      </c>
      <c r="L2346" t="s">
        <v>22</v>
      </c>
      <c r="M2346" s="1">
        <v>36671</v>
      </c>
      <c r="N2346">
        <v>2000</v>
      </c>
    </row>
    <row r="2347" spans="1:14">
      <c r="A2347" t="s">
        <v>14</v>
      </c>
      <c r="B2347" t="str">
        <f>"110901200000"</f>
        <v>110901200000</v>
      </c>
      <c r="C2347" t="s">
        <v>1921</v>
      </c>
      <c r="D2347" t="s">
        <v>98</v>
      </c>
      <c r="G2347" t="s">
        <v>17</v>
      </c>
      <c r="H2347" t="s">
        <v>18</v>
      </c>
      <c r="I2347" t="s">
        <v>40</v>
      </c>
      <c r="J2347" t="s">
        <v>41</v>
      </c>
      <c r="K2347" t="s">
        <v>404</v>
      </c>
      <c r="L2347" t="s">
        <v>22</v>
      </c>
      <c r="M2347" s="1">
        <v>36534</v>
      </c>
      <c r="N2347">
        <v>2000</v>
      </c>
    </row>
    <row r="2348" spans="1:14">
      <c r="A2348" t="s">
        <v>14</v>
      </c>
      <c r="B2348" t="str">
        <f>"111008199901"</f>
        <v>111008199901</v>
      </c>
      <c r="C2348" t="s">
        <v>2034</v>
      </c>
      <c r="D2348" t="s">
        <v>129</v>
      </c>
      <c r="G2348" t="s">
        <v>17</v>
      </c>
      <c r="H2348" t="s">
        <v>18</v>
      </c>
      <c r="I2348" t="s">
        <v>40</v>
      </c>
      <c r="J2348" t="s">
        <v>41</v>
      </c>
      <c r="K2348" t="s">
        <v>983</v>
      </c>
      <c r="L2348" t="s">
        <v>22</v>
      </c>
      <c r="M2348" s="1">
        <v>36382</v>
      </c>
      <c r="N2348">
        <v>1999</v>
      </c>
    </row>
    <row r="2349" spans="1:14">
      <c r="A2349" t="s">
        <v>14</v>
      </c>
      <c r="B2349" t="str">
        <f>"113009200000"</f>
        <v>113009200000</v>
      </c>
      <c r="C2349" t="s">
        <v>2249</v>
      </c>
      <c r="D2349" t="s">
        <v>98</v>
      </c>
      <c r="G2349" t="s">
        <v>17</v>
      </c>
      <c r="H2349" t="s">
        <v>18</v>
      </c>
      <c r="I2349" t="s">
        <v>40</v>
      </c>
      <c r="J2349" t="s">
        <v>41</v>
      </c>
      <c r="K2349" t="s">
        <v>2250</v>
      </c>
      <c r="M2349" s="1">
        <v>36799</v>
      </c>
      <c r="N2349">
        <v>2000</v>
      </c>
    </row>
    <row r="2350" spans="1:14">
      <c r="A2350" t="s">
        <v>14</v>
      </c>
      <c r="B2350" t="str">
        <f>"110712200100"</f>
        <v>110712200100</v>
      </c>
      <c r="C2350" t="s">
        <v>2330</v>
      </c>
      <c r="D2350" t="s">
        <v>209</v>
      </c>
      <c r="G2350" t="s">
        <v>17</v>
      </c>
      <c r="H2350" t="s">
        <v>18</v>
      </c>
      <c r="I2350" t="s">
        <v>40</v>
      </c>
      <c r="J2350" t="s">
        <v>41</v>
      </c>
      <c r="K2350" t="s">
        <v>983</v>
      </c>
      <c r="L2350" t="s">
        <v>22</v>
      </c>
      <c r="M2350" s="1">
        <v>37232</v>
      </c>
      <c r="N2350">
        <v>2001</v>
      </c>
    </row>
    <row r="2351" spans="1:14">
      <c r="A2351" t="s">
        <v>14</v>
      </c>
      <c r="B2351" t="str">
        <f>"110809200100"</f>
        <v>110809200100</v>
      </c>
      <c r="C2351" t="s">
        <v>2523</v>
      </c>
      <c r="D2351" t="s">
        <v>342</v>
      </c>
      <c r="G2351" t="s">
        <v>17</v>
      </c>
      <c r="H2351" t="s">
        <v>18</v>
      </c>
      <c r="I2351" t="s">
        <v>40</v>
      </c>
      <c r="J2351" t="s">
        <v>41</v>
      </c>
      <c r="K2351" t="s">
        <v>404</v>
      </c>
      <c r="L2351" t="s">
        <v>63</v>
      </c>
      <c r="M2351" s="1">
        <v>37142</v>
      </c>
      <c r="N2351">
        <v>2001</v>
      </c>
    </row>
    <row r="2352" spans="1:14">
      <c r="A2352" t="s">
        <v>14</v>
      </c>
      <c r="B2352" t="str">
        <f>"111511200500"</f>
        <v>111511200500</v>
      </c>
      <c r="C2352" t="s">
        <v>37</v>
      </c>
      <c r="D2352" t="s">
        <v>38</v>
      </c>
      <c r="G2352" t="s">
        <v>17</v>
      </c>
      <c r="H2352" t="s">
        <v>39</v>
      </c>
      <c r="I2352" t="s">
        <v>40</v>
      </c>
      <c r="J2352" t="s">
        <v>41</v>
      </c>
      <c r="K2352" t="s">
        <v>42</v>
      </c>
      <c r="L2352" t="s">
        <v>22</v>
      </c>
      <c r="M2352" s="1">
        <v>38671</v>
      </c>
      <c r="N2352">
        <v>2005</v>
      </c>
    </row>
    <row r="2353" spans="1:14">
      <c r="A2353" t="s">
        <v>14</v>
      </c>
      <c r="B2353" t="str">
        <f>"110511200400"</f>
        <v>110511200400</v>
      </c>
      <c r="C2353" t="s">
        <v>663</v>
      </c>
      <c r="D2353" t="s">
        <v>664</v>
      </c>
      <c r="G2353" t="s">
        <v>17</v>
      </c>
      <c r="H2353" t="s">
        <v>39</v>
      </c>
      <c r="I2353" t="s">
        <v>40</v>
      </c>
      <c r="J2353" t="s">
        <v>41</v>
      </c>
      <c r="K2353" t="s">
        <v>404</v>
      </c>
      <c r="L2353" t="s">
        <v>22</v>
      </c>
      <c r="M2353" s="1">
        <v>38296</v>
      </c>
      <c r="N2353">
        <v>2004</v>
      </c>
    </row>
    <row r="2354" spans="1:14">
      <c r="A2354" t="s">
        <v>14</v>
      </c>
      <c r="B2354" t="str">
        <f>"112001200500"</f>
        <v>112001200500</v>
      </c>
      <c r="C2354" t="s">
        <v>926</v>
      </c>
      <c r="D2354" t="s">
        <v>431</v>
      </c>
      <c r="G2354" t="s">
        <v>17</v>
      </c>
      <c r="H2354" t="s">
        <v>39</v>
      </c>
      <c r="I2354" t="s">
        <v>40</v>
      </c>
      <c r="J2354" t="s">
        <v>41</v>
      </c>
      <c r="K2354" t="s">
        <v>42</v>
      </c>
      <c r="L2354" t="s">
        <v>22</v>
      </c>
      <c r="M2354" s="1">
        <v>38372</v>
      </c>
      <c r="N2354">
        <v>2005</v>
      </c>
    </row>
    <row r="2355" spans="1:14">
      <c r="A2355" t="s">
        <v>14</v>
      </c>
      <c r="B2355" t="str">
        <f>"112010200402"</f>
        <v>112010200402</v>
      </c>
      <c r="C2355" t="s">
        <v>1443</v>
      </c>
      <c r="D2355" t="s">
        <v>886</v>
      </c>
      <c r="G2355" t="s">
        <v>17</v>
      </c>
      <c r="H2355" t="s">
        <v>39</v>
      </c>
      <c r="I2355" t="s">
        <v>40</v>
      </c>
      <c r="J2355" t="s">
        <v>41</v>
      </c>
      <c r="K2355" t="s">
        <v>1292</v>
      </c>
      <c r="M2355" s="1">
        <v>38280</v>
      </c>
      <c r="N2355">
        <v>2004</v>
      </c>
    </row>
    <row r="2356" spans="1:14">
      <c r="A2356" t="s">
        <v>14</v>
      </c>
      <c r="B2356" t="str">
        <f>"110408200400"</f>
        <v>110408200400</v>
      </c>
      <c r="C2356" t="s">
        <v>1689</v>
      </c>
      <c r="D2356" t="s">
        <v>209</v>
      </c>
      <c r="G2356" t="s">
        <v>17</v>
      </c>
      <c r="H2356" t="s">
        <v>39</v>
      </c>
      <c r="I2356" t="s">
        <v>40</v>
      </c>
      <c r="J2356" t="s">
        <v>41</v>
      </c>
      <c r="K2356" t="s">
        <v>42</v>
      </c>
      <c r="L2356" t="s">
        <v>22</v>
      </c>
      <c r="M2356" s="1">
        <v>38203</v>
      </c>
      <c r="N2356">
        <v>2004</v>
      </c>
    </row>
    <row r="2357" spans="1:14">
      <c r="A2357" t="s">
        <v>14</v>
      </c>
      <c r="B2357" t="str">
        <f>"110408200401"</f>
        <v>110408200401</v>
      </c>
      <c r="C2357" t="s">
        <v>1689</v>
      </c>
      <c r="D2357" t="s">
        <v>50</v>
      </c>
      <c r="G2357" t="s">
        <v>17</v>
      </c>
      <c r="H2357" t="s">
        <v>39</v>
      </c>
      <c r="I2357" t="s">
        <v>40</v>
      </c>
      <c r="J2357" t="s">
        <v>41</v>
      </c>
      <c r="K2357" t="s">
        <v>42</v>
      </c>
      <c r="L2357" t="s">
        <v>22</v>
      </c>
      <c r="M2357" s="1">
        <v>38203</v>
      </c>
      <c r="N2357">
        <v>2004</v>
      </c>
    </row>
    <row r="2358" spans="1:14">
      <c r="A2358" t="s">
        <v>14</v>
      </c>
      <c r="B2358" t="str">
        <f>"110202200400"</f>
        <v>110202200400</v>
      </c>
      <c r="C2358" t="s">
        <v>2071</v>
      </c>
      <c r="D2358" t="s">
        <v>70</v>
      </c>
      <c r="G2358" t="s">
        <v>17</v>
      </c>
      <c r="H2358" t="s">
        <v>39</v>
      </c>
      <c r="I2358" t="s">
        <v>40</v>
      </c>
      <c r="J2358" t="s">
        <v>41</v>
      </c>
      <c r="K2358" t="s">
        <v>42</v>
      </c>
      <c r="M2358" s="1">
        <v>38019</v>
      </c>
      <c r="N2358">
        <v>2004</v>
      </c>
    </row>
    <row r="2359" spans="1:14">
      <c r="A2359" t="s">
        <v>14</v>
      </c>
      <c r="B2359" t="str">
        <f>"112007200400"</f>
        <v>112007200400</v>
      </c>
      <c r="C2359" t="s">
        <v>2567</v>
      </c>
      <c r="D2359" t="s">
        <v>344</v>
      </c>
      <c r="G2359" t="s">
        <v>17</v>
      </c>
      <c r="H2359" t="s">
        <v>39</v>
      </c>
      <c r="I2359" t="s">
        <v>40</v>
      </c>
      <c r="J2359" t="s">
        <v>41</v>
      </c>
      <c r="K2359" t="s">
        <v>1292</v>
      </c>
      <c r="M2359" s="1">
        <v>38188</v>
      </c>
      <c r="N2359">
        <v>2004</v>
      </c>
    </row>
    <row r="2360" spans="1:14">
      <c r="A2360" t="s">
        <v>14</v>
      </c>
      <c r="B2360" t="str">
        <f>"111106200400"</f>
        <v>111106200400</v>
      </c>
      <c r="C2360" t="s">
        <v>2776</v>
      </c>
      <c r="D2360" t="s">
        <v>95</v>
      </c>
      <c r="G2360" t="s">
        <v>17</v>
      </c>
      <c r="H2360" t="s">
        <v>39</v>
      </c>
      <c r="I2360" t="s">
        <v>40</v>
      </c>
      <c r="J2360" t="s">
        <v>41</v>
      </c>
      <c r="K2360" t="s">
        <v>42</v>
      </c>
      <c r="M2360" s="1">
        <v>38149</v>
      </c>
      <c r="N2360">
        <v>2004</v>
      </c>
    </row>
    <row r="2361" spans="1:14">
      <c r="A2361" t="s">
        <v>14</v>
      </c>
      <c r="B2361" t="str">
        <f>"112108200200"</f>
        <v>112108200200</v>
      </c>
      <c r="C2361" t="s">
        <v>399</v>
      </c>
      <c r="D2361" t="s">
        <v>403</v>
      </c>
      <c r="G2361" t="s">
        <v>17</v>
      </c>
      <c r="H2361" t="s">
        <v>51</v>
      </c>
      <c r="I2361" t="s">
        <v>40</v>
      </c>
      <c r="J2361" t="s">
        <v>41</v>
      </c>
      <c r="K2361" t="s">
        <v>404</v>
      </c>
      <c r="L2361" t="s">
        <v>22</v>
      </c>
      <c r="M2361" s="1">
        <v>37489</v>
      </c>
      <c r="N2361">
        <v>2002</v>
      </c>
    </row>
    <row r="2362" spans="1:14">
      <c r="A2362" t="s">
        <v>14</v>
      </c>
      <c r="B2362" t="str">
        <f>"110304200200"</f>
        <v>110304200200</v>
      </c>
      <c r="C2362" t="s">
        <v>954</v>
      </c>
      <c r="D2362" t="s">
        <v>344</v>
      </c>
      <c r="G2362" t="s">
        <v>17</v>
      </c>
      <c r="H2362" t="s">
        <v>51</v>
      </c>
      <c r="I2362" t="s">
        <v>40</v>
      </c>
      <c r="J2362" t="s">
        <v>41</v>
      </c>
      <c r="K2362" t="s">
        <v>42</v>
      </c>
      <c r="M2362" s="1">
        <v>37349</v>
      </c>
      <c r="N2362">
        <v>2002</v>
      </c>
    </row>
    <row r="2363" spans="1:14">
      <c r="A2363" t="s">
        <v>14</v>
      </c>
      <c r="B2363" t="str">
        <f>"112907200201"</f>
        <v>112907200201</v>
      </c>
      <c r="C2363" t="s">
        <v>982</v>
      </c>
      <c r="D2363" t="s">
        <v>181</v>
      </c>
      <c r="G2363" t="s">
        <v>17</v>
      </c>
      <c r="H2363" t="s">
        <v>51</v>
      </c>
      <c r="I2363" t="s">
        <v>40</v>
      </c>
      <c r="J2363" t="s">
        <v>41</v>
      </c>
      <c r="K2363" t="s">
        <v>983</v>
      </c>
      <c r="L2363" t="s">
        <v>22</v>
      </c>
      <c r="M2363" s="1">
        <v>37466</v>
      </c>
      <c r="N2363">
        <v>2002</v>
      </c>
    </row>
    <row r="2364" spans="1:14">
      <c r="A2364" t="s">
        <v>14</v>
      </c>
      <c r="B2364" t="str">
        <f>"111203200300"</f>
        <v>111203200300</v>
      </c>
      <c r="C2364" t="s">
        <v>1036</v>
      </c>
      <c r="D2364" t="s">
        <v>95</v>
      </c>
      <c r="G2364" t="s">
        <v>17</v>
      </c>
      <c r="H2364" t="s">
        <v>51</v>
      </c>
      <c r="I2364" t="s">
        <v>40</v>
      </c>
      <c r="J2364" t="s">
        <v>41</v>
      </c>
      <c r="K2364" t="s">
        <v>42</v>
      </c>
      <c r="L2364" t="s">
        <v>63</v>
      </c>
      <c r="M2364" s="1">
        <v>37692</v>
      </c>
      <c r="N2364">
        <v>2003</v>
      </c>
    </row>
    <row r="2365" spans="1:14">
      <c r="A2365" t="s">
        <v>14</v>
      </c>
      <c r="B2365" t="str">
        <f>"110604200300"</f>
        <v>110604200300</v>
      </c>
      <c r="C2365" t="s">
        <v>1057</v>
      </c>
      <c r="D2365" t="s">
        <v>50</v>
      </c>
      <c r="G2365" t="s">
        <v>17</v>
      </c>
      <c r="H2365" t="s">
        <v>51</v>
      </c>
      <c r="I2365" t="s">
        <v>40</v>
      </c>
      <c r="J2365" t="s">
        <v>41</v>
      </c>
      <c r="K2365" t="s">
        <v>983</v>
      </c>
      <c r="L2365" t="s">
        <v>22</v>
      </c>
      <c r="M2365" s="1">
        <v>37717</v>
      </c>
      <c r="N2365">
        <v>2003</v>
      </c>
    </row>
    <row r="2366" spans="1:14">
      <c r="A2366" t="s">
        <v>14</v>
      </c>
      <c r="B2366" t="str">
        <f>"111603200300"</f>
        <v>111603200300</v>
      </c>
      <c r="C2366" t="s">
        <v>1158</v>
      </c>
      <c r="D2366" t="s">
        <v>209</v>
      </c>
      <c r="G2366" t="s">
        <v>17</v>
      </c>
      <c r="H2366" t="s">
        <v>51</v>
      </c>
      <c r="I2366" t="s">
        <v>40</v>
      </c>
      <c r="J2366" t="s">
        <v>41</v>
      </c>
      <c r="K2366" t="s">
        <v>404</v>
      </c>
      <c r="L2366" t="s">
        <v>22</v>
      </c>
      <c r="M2366" s="1">
        <v>37696</v>
      </c>
      <c r="N2366">
        <v>2003</v>
      </c>
    </row>
    <row r="2367" spans="1:14">
      <c r="A2367" t="s">
        <v>14</v>
      </c>
      <c r="B2367" t="str">
        <f>"111001200202"</f>
        <v>111001200202</v>
      </c>
      <c r="C2367" t="s">
        <v>1323</v>
      </c>
      <c r="D2367" t="s">
        <v>209</v>
      </c>
      <c r="G2367" t="s">
        <v>17</v>
      </c>
      <c r="H2367" t="s">
        <v>51</v>
      </c>
      <c r="I2367" t="s">
        <v>40</v>
      </c>
      <c r="J2367" t="s">
        <v>41</v>
      </c>
      <c r="K2367" t="s">
        <v>404</v>
      </c>
      <c r="M2367" s="1">
        <v>37266</v>
      </c>
      <c r="N2367">
        <v>2002</v>
      </c>
    </row>
    <row r="2368" spans="1:14">
      <c r="A2368" t="s">
        <v>14</v>
      </c>
      <c r="B2368" t="str">
        <f>"111811200300"</f>
        <v>111811200300</v>
      </c>
      <c r="C2368" t="s">
        <v>1342</v>
      </c>
      <c r="D2368" t="s">
        <v>902</v>
      </c>
      <c r="G2368" t="s">
        <v>17</v>
      </c>
      <c r="H2368" t="s">
        <v>51</v>
      </c>
      <c r="I2368" t="s">
        <v>40</v>
      </c>
      <c r="J2368" t="s">
        <v>41</v>
      </c>
      <c r="K2368" t="s">
        <v>404</v>
      </c>
      <c r="M2368" s="1">
        <v>37943</v>
      </c>
      <c r="N2368">
        <v>2003</v>
      </c>
    </row>
    <row r="2369" spans="1:14">
      <c r="A2369" t="s">
        <v>14</v>
      </c>
      <c r="B2369" t="str">
        <f>"111107200301"</f>
        <v>111107200301</v>
      </c>
      <c r="C2369" t="s">
        <v>1350</v>
      </c>
      <c r="D2369" t="s">
        <v>344</v>
      </c>
      <c r="G2369" t="s">
        <v>17</v>
      </c>
      <c r="H2369" t="s">
        <v>51</v>
      </c>
      <c r="I2369" t="s">
        <v>40</v>
      </c>
      <c r="J2369" t="s">
        <v>41</v>
      </c>
      <c r="K2369" t="s">
        <v>42</v>
      </c>
      <c r="M2369" s="1">
        <v>37813</v>
      </c>
      <c r="N2369">
        <v>2003</v>
      </c>
    </row>
    <row r="2370" spans="1:14">
      <c r="A2370" t="s">
        <v>14</v>
      </c>
      <c r="B2370" t="str">
        <f>"112009200201"</f>
        <v>112009200201</v>
      </c>
      <c r="C2370" t="s">
        <v>1863</v>
      </c>
      <c r="D2370" t="s">
        <v>590</v>
      </c>
      <c r="G2370" t="s">
        <v>17</v>
      </c>
      <c r="H2370" t="s">
        <v>51</v>
      </c>
      <c r="I2370" t="s">
        <v>40</v>
      </c>
      <c r="J2370" t="s">
        <v>41</v>
      </c>
      <c r="K2370" t="s">
        <v>404</v>
      </c>
      <c r="M2370" s="1">
        <v>37519</v>
      </c>
      <c r="N2370">
        <v>2002</v>
      </c>
    </row>
    <row r="2371" spans="1:14">
      <c r="A2371" t="s">
        <v>14</v>
      </c>
      <c r="B2371" t="str">
        <f>"112103200301"</f>
        <v>112103200301</v>
      </c>
      <c r="C2371" t="s">
        <v>1968</v>
      </c>
      <c r="D2371" t="s">
        <v>53</v>
      </c>
      <c r="G2371" t="s">
        <v>17</v>
      </c>
      <c r="H2371" t="s">
        <v>51</v>
      </c>
      <c r="I2371" t="s">
        <v>40</v>
      </c>
      <c r="J2371" t="s">
        <v>41</v>
      </c>
      <c r="K2371" t="s">
        <v>983</v>
      </c>
      <c r="L2371" t="s">
        <v>22</v>
      </c>
      <c r="M2371" s="1">
        <v>37701</v>
      </c>
      <c r="N2371">
        <v>2003</v>
      </c>
    </row>
    <row r="2372" spans="1:14">
      <c r="A2372" t="s">
        <v>14</v>
      </c>
      <c r="B2372" t="str">
        <f>"110708200300"</f>
        <v>110708200300</v>
      </c>
      <c r="C2372" t="s">
        <v>2343</v>
      </c>
      <c r="D2372" t="s">
        <v>24</v>
      </c>
      <c r="G2372" t="s">
        <v>17</v>
      </c>
      <c r="H2372" t="s">
        <v>51</v>
      </c>
      <c r="I2372" t="s">
        <v>40</v>
      </c>
      <c r="J2372" t="s">
        <v>41</v>
      </c>
      <c r="K2372" t="s">
        <v>42</v>
      </c>
      <c r="L2372" t="s">
        <v>63</v>
      </c>
      <c r="M2372" s="1">
        <v>37840</v>
      </c>
      <c r="N2372">
        <v>2003</v>
      </c>
    </row>
    <row r="2373" spans="1:14">
      <c r="A2373" t="s">
        <v>14</v>
      </c>
      <c r="B2373" t="str">
        <f>"110702200200"</f>
        <v>110702200200</v>
      </c>
      <c r="C2373" t="s">
        <v>2377</v>
      </c>
      <c r="D2373" t="s">
        <v>100</v>
      </c>
      <c r="G2373" t="s">
        <v>17</v>
      </c>
      <c r="H2373" t="s">
        <v>51</v>
      </c>
      <c r="I2373" t="s">
        <v>40</v>
      </c>
      <c r="J2373" t="s">
        <v>41</v>
      </c>
      <c r="K2373" t="s">
        <v>42</v>
      </c>
      <c r="L2373" t="s">
        <v>22</v>
      </c>
      <c r="M2373" s="1">
        <v>37294</v>
      </c>
      <c r="N2373">
        <v>2002</v>
      </c>
    </row>
    <row r="2374" spans="1:14">
      <c r="A2374" t="s">
        <v>14</v>
      </c>
      <c r="B2374" t="str">
        <f>"122005200200"</f>
        <v>122005200200</v>
      </c>
      <c r="C2374" t="s">
        <v>2011</v>
      </c>
      <c r="D2374" t="s">
        <v>127</v>
      </c>
      <c r="G2374" t="s">
        <v>32</v>
      </c>
      <c r="H2374" t="s">
        <v>65</v>
      </c>
      <c r="I2374" t="s">
        <v>1071</v>
      </c>
      <c r="J2374" t="s">
        <v>1072</v>
      </c>
      <c r="K2374" t="s">
        <v>1073</v>
      </c>
      <c r="L2374" t="s">
        <v>22</v>
      </c>
      <c r="M2374" s="1">
        <v>37549</v>
      </c>
      <c r="N2374">
        <v>2002</v>
      </c>
    </row>
    <row r="2375" spans="1:14">
      <c r="A2375" t="s">
        <v>14</v>
      </c>
      <c r="B2375" t="str">
        <f>"113110200200"</f>
        <v>113110200200</v>
      </c>
      <c r="C2375" t="s">
        <v>1070</v>
      </c>
      <c r="D2375" t="s">
        <v>209</v>
      </c>
      <c r="G2375" t="s">
        <v>17</v>
      </c>
      <c r="H2375" t="s">
        <v>51</v>
      </c>
      <c r="I2375" t="s">
        <v>1071</v>
      </c>
      <c r="J2375" t="s">
        <v>1072</v>
      </c>
      <c r="K2375" t="s">
        <v>1073</v>
      </c>
      <c r="L2375" t="s">
        <v>22</v>
      </c>
      <c r="M2375" s="1">
        <v>37559</v>
      </c>
      <c r="N2375">
        <v>2002</v>
      </c>
    </row>
    <row r="2376" spans="1:14">
      <c r="A2376" t="s">
        <v>14</v>
      </c>
      <c r="B2376" t="str">
        <f>"122502200401"</f>
        <v>122502200401</v>
      </c>
      <c r="C2376" t="s">
        <v>823</v>
      </c>
      <c r="D2376" t="s">
        <v>824</v>
      </c>
      <c r="G2376" t="s">
        <v>32</v>
      </c>
      <c r="H2376" t="s">
        <v>33</v>
      </c>
      <c r="I2376" t="s">
        <v>123</v>
      </c>
      <c r="J2376" t="s">
        <v>124</v>
      </c>
      <c r="K2376" t="s">
        <v>361</v>
      </c>
      <c r="L2376" t="s">
        <v>22</v>
      </c>
      <c r="M2376" s="1">
        <v>38042</v>
      </c>
      <c r="N2376">
        <v>2004</v>
      </c>
    </row>
    <row r="2377" spans="1:14">
      <c r="A2377" t="s">
        <v>14</v>
      </c>
      <c r="B2377" t="str">
        <f>"122208200400"</f>
        <v>122208200400</v>
      </c>
      <c r="C2377" t="s">
        <v>869</v>
      </c>
      <c r="D2377" t="s">
        <v>235</v>
      </c>
      <c r="G2377" t="s">
        <v>32</v>
      </c>
      <c r="H2377" t="s">
        <v>33</v>
      </c>
      <c r="I2377" t="s">
        <v>123</v>
      </c>
      <c r="J2377" t="s">
        <v>124</v>
      </c>
      <c r="K2377" t="s">
        <v>125</v>
      </c>
      <c r="M2377" s="1">
        <v>38221</v>
      </c>
      <c r="N2377">
        <v>2004</v>
      </c>
    </row>
    <row r="2378" spans="1:14">
      <c r="A2378" t="s">
        <v>14</v>
      </c>
      <c r="B2378" t="str">
        <f>"122102200402"</f>
        <v>122102200402</v>
      </c>
      <c r="C2378" t="s">
        <v>1200</v>
      </c>
      <c r="D2378" t="s">
        <v>127</v>
      </c>
      <c r="G2378" t="s">
        <v>32</v>
      </c>
      <c r="H2378" t="s">
        <v>33</v>
      </c>
      <c r="I2378" t="s">
        <v>123</v>
      </c>
      <c r="J2378" t="s">
        <v>124</v>
      </c>
      <c r="K2378" t="s">
        <v>125</v>
      </c>
      <c r="M2378" s="1">
        <v>38038</v>
      </c>
      <c r="N2378">
        <v>2004</v>
      </c>
    </row>
    <row r="2379" spans="1:14">
      <c r="A2379" t="s">
        <v>14</v>
      </c>
      <c r="B2379" t="str">
        <f>"122005200400"</f>
        <v>122005200400</v>
      </c>
      <c r="C2379" t="s">
        <v>1878</v>
      </c>
      <c r="D2379" t="s">
        <v>534</v>
      </c>
      <c r="G2379" t="s">
        <v>32</v>
      </c>
      <c r="H2379" t="s">
        <v>33</v>
      </c>
      <c r="I2379" t="s">
        <v>123</v>
      </c>
      <c r="J2379" t="s">
        <v>124</v>
      </c>
      <c r="K2379" t="s">
        <v>125</v>
      </c>
      <c r="M2379" s="1">
        <v>38127</v>
      </c>
      <c r="N2379">
        <v>2004</v>
      </c>
    </row>
    <row r="2380" spans="1:14">
      <c r="A2380" t="s">
        <v>14</v>
      </c>
      <c r="B2380" t="str">
        <f>"122206200400"</f>
        <v>122206200400</v>
      </c>
      <c r="C2380" t="s">
        <v>1949</v>
      </c>
      <c r="D2380" t="s">
        <v>380</v>
      </c>
      <c r="G2380" t="s">
        <v>32</v>
      </c>
      <c r="H2380" t="s">
        <v>33</v>
      </c>
      <c r="I2380" t="s">
        <v>123</v>
      </c>
      <c r="J2380" t="s">
        <v>124</v>
      </c>
      <c r="K2380" t="s">
        <v>137</v>
      </c>
      <c r="L2380" t="s">
        <v>22</v>
      </c>
      <c r="M2380" s="1">
        <v>38160</v>
      </c>
      <c r="N2380">
        <v>2004</v>
      </c>
    </row>
    <row r="2381" spans="1:14">
      <c r="A2381" t="s">
        <v>14</v>
      </c>
      <c r="B2381" t="str">
        <f>"122010200401"</f>
        <v>122010200401</v>
      </c>
      <c r="C2381" t="s">
        <v>2875</v>
      </c>
      <c r="D2381" t="s">
        <v>178</v>
      </c>
      <c r="G2381" t="s">
        <v>32</v>
      </c>
      <c r="H2381" t="s">
        <v>33</v>
      </c>
      <c r="I2381" t="s">
        <v>123</v>
      </c>
      <c r="J2381" t="s">
        <v>124</v>
      </c>
      <c r="K2381" t="s">
        <v>125</v>
      </c>
      <c r="M2381" s="1">
        <v>38280</v>
      </c>
      <c r="N2381">
        <v>2004</v>
      </c>
    </row>
    <row r="2382" spans="1:14">
      <c r="A2382" t="s">
        <v>14</v>
      </c>
      <c r="B2382" t="str">
        <f>"121802200301"</f>
        <v>121802200301</v>
      </c>
      <c r="C2382" t="s">
        <v>360</v>
      </c>
      <c r="D2382" t="s">
        <v>223</v>
      </c>
      <c r="G2382" t="s">
        <v>32</v>
      </c>
      <c r="H2382" t="s">
        <v>65</v>
      </c>
      <c r="I2382" t="s">
        <v>123</v>
      </c>
      <c r="J2382" t="s">
        <v>124</v>
      </c>
      <c r="K2382" t="s">
        <v>361</v>
      </c>
      <c r="L2382" t="s">
        <v>22</v>
      </c>
      <c r="M2382" s="1">
        <v>37670</v>
      </c>
      <c r="N2382">
        <v>2003</v>
      </c>
    </row>
    <row r="2383" spans="1:14">
      <c r="A2383" t="s">
        <v>14</v>
      </c>
      <c r="B2383" t="str">
        <f>"122412200300"</f>
        <v>122412200300</v>
      </c>
      <c r="C2383" t="s">
        <v>451</v>
      </c>
      <c r="D2383" t="s">
        <v>452</v>
      </c>
      <c r="G2383" t="s">
        <v>32</v>
      </c>
      <c r="H2383" t="s">
        <v>65</v>
      </c>
      <c r="I2383" t="s">
        <v>123</v>
      </c>
      <c r="J2383" t="s">
        <v>124</v>
      </c>
      <c r="K2383" t="s">
        <v>125</v>
      </c>
      <c r="M2383" s="1">
        <v>37979</v>
      </c>
      <c r="N2383">
        <v>2003</v>
      </c>
    </row>
    <row r="2384" spans="1:14">
      <c r="A2384" t="s">
        <v>14</v>
      </c>
      <c r="B2384" t="str">
        <f>"122312200300"</f>
        <v>122312200300</v>
      </c>
      <c r="C2384" t="s">
        <v>492</v>
      </c>
      <c r="D2384" t="s">
        <v>493</v>
      </c>
      <c r="G2384" t="s">
        <v>32</v>
      </c>
      <c r="H2384" t="s">
        <v>65</v>
      </c>
      <c r="I2384" t="s">
        <v>123</v>
      </c>
      <c r="J2384" t="s">
        <v>124</v>
      </c>
      <c r="K2384" t="s">
        <v>125</v>
      </c>
      <c r="L2384" t="s">
        <v>22</v>
      </c>
      <c r="M2384" s="1">
        <v>37978</v>
      </c>
      <c r="N2384">
        <v>2003</v>
      </c>
    </row>
    <row r="2385" spans="1:14">
      <c r="A2385" t="s">
        <v>14</v>
      </c>
      <c r="B2385" t="str">
        <f>"121711200200"</f>
        <v>121711200200</v>
      </c>
      <c r="C2385" t="s">
        <v>625</v>
      </c>
      <c r="D2385" t="s">
        <v>233</v>
      </c>
      <c r="G2385" t="s">
        <v>32</v>
      </c>
      <c r="H2385" t="s">
        <v>65</v>
      </c>
      <c r="I2385" t="s">
        <v>123</v>
      </c>
      <c r="J2385" t="s">
        <v>124</v>
      </c>
      <c r="K2385" t="s">
        <v>125</v>
      </c>
      <c r="M2385" s="1">
        <v>37577</v>
      </c>
      <c r="N2385">
        <v>2002</v>
      </c>
    </row>
    <row r="2386" spans="1:14">
      <c r="A2386" t="s">
        <v>14</v>
      </c>
      <c r="B2386" t="str">
        <f>"121202200200"</f>
        <v>121202200200</v>
      </c>
      <c r="C2386" t="s">
        <v>734</v>
      </c>
      <c r="D2386" t="s">
        <v>233</v>
      </c>
      <c r="G2386" t="s">
        <v>32</v>
      </c>
      <c r="H2386" t="s">
        <v>65</v>
      </c>
      <c r="I2386" t="s">
        <v>123</v>
      </c>
      <c r="J2386" t="s">
        <v>124</v>
      </c>
      <c r="K2386" t="s">
        <v>735</v>
      </c>
      <c r="M2386" s="1">
        <v>37299</v>
      </c>
      <c r="N2386">
        <v>2002</v>
      </c>
    </row>
    <row r="2387" spans="1:14">
      <c r="A2387" t="s">
        <v>14</v>
      </c>
      <c r="B2387" t="str">
        <f>"122310200304"</f>
        <v>122310200304</v>
      </c>
      <c r="C2387" t="s">
        <v>1063</v>
      </c>
      <c r="D2387" t="s">
        <v>232</v>
      </c>
      <c r="G2387" t="s">
        <v>32</v>
      </c>
      <c r="H2387" t="s">
        <v>65</v>
      </c>
      <c r="I2387" t="s">
        <v>123</v>
      </c>
      <c r="J2387" t="s">
        <v>124</v>
      </c>
      <c r="K2387" t="s">
        <v>125</v>
      </c>
      <c r="L2387" t="s">
        <v>63</v>
      </c>
      <c r="M2387" s="1">
        <v>37917</v>
      </c>
      <c r="N2387">
        <v>2003</v>
      </c>
    </row>
    <row r="2388" spans="1:14">
      <c r="A2388" t="s">
        <v>14</v>
      </c>
      <c r="B2388" t="str">
        <f>"121312200300"</f>
        <v>121312200300</v>
      </c>
      <c r="C2388" t="s">
        <v>1131</v>
      </c>
      <c r="D2388" t="s">
        <v>1132</v>
      </c>
      <c r="G2388" t="s">
        <v>32</v>
      </c>
      <c r="H2388" t="s">
        <v>65</v>
      </c>
      <c r="I2388" t="s">
        <v>123</v>
      </c>
      <c r="J2388" t="s">
        <v>124</v>
      </c>
      <c r="K2388" t="s">
        <v>1133</v>
      </c>
      <c r="L2388" t="s">
        <v>22</v>
      </c>
      <c r="M2388" s="1">
        <v>37968</v>
      </c>
      <c r="N2388">
        <v>2003</v>
      </c>
    </row>
    <row r="2389" spans="1:14">
      <c r="A2389" t="s">
        <v>14</v>
      </c>
      <c r="B2389" t="str">
        <f>"121709200300"</f>
        <v>121709200300</v>
      </c>
      <c r="C2389" t="s">
        <v>1303</v>
      </c>
      <c r="D2389" t="s">
        <v>194</v>
      </c>
      <c r="G2389" t="s">
        <v>32</v>
      </c>
      <c r="H2389" t="s">
        <v>65</v>
      </c>
      <c r="I2389" t="s">
        <v>123</v>
      </c>
      <c r="J2389" t="s">
        <v>124</v>
      </c>
      <c r="K2389" t="s">
        <v>125</v>
      </c>
      <c r="L2389" t="s">
        <v>22</v>
      </c>
      <c r="M2389" s="1">
        <v>37881</v>
      </c>
      <c r="N2389">
        <v>2003</v>
      </c>
    </row>
    <row r="2390" spans="1:14">
      <c r="A2390" t="s">
        <v>14</v>
      </c>
      <c r="B2390" t="str">
        <f>"121210200301"</f>
        <v>121210200301</v>
      </c>
      <c r="C2390" t="s">
        <v>1373</v>
      </c>
      <c r="D2390" t="s">
        <v>551</v>
      </c>
      <c r="G2390" t="s">
        <v>32</v>
      </c>
      <c r="H2390" t="s">
        <v>65</v>
      </c>
      <c r="I2390" t="s">
        <v>123</v>
      </c>
      <c r="J2390" t="s">
        <v>124</v>
      </c>
      <c r="K2390" t="s">
        <v>361</v>
      </c>
      <c r="L2390" t="s">
        <v>22</v>
      </c>
      <c r="M2390" s="1">
        <v>37906</v>
      </c>
      <c r="N2390">
        <v>2003</v>
      </c>
    </row>
    <row r="2391" spans="1:14">
      <c r="A2391" t="s">
        <v>14</v>
      </c>
      <c r="B2391" t="str">
        <f>"123006200300"</f>
        <v>123006200300</v>
      </c>
      <c r="C2391" t="s">
        <v>1525</v>
      </c>
      <c r="D2391" t="s">
        <v>58</v>
      </c>
      <c r="G2391" t="s">
        <v>32</v>
      </c>
      <c r="H2391" t="s">
        <v>65</v>
      </c>
      <c r="I2391" t="s">
        <v>123</v>
      </c>
      <c r="J2391" t="s">
        <v>124</v>
      </c>
      <c r="K2391" t="s">
        <v>827</v>
      </c>
      <c r="L2391" t="s">
        <v>22</v>
      </c>
      <c r="M2391" s="1">
        <v>37802</v>
      </c>
      <c r="N2391">
        <v>2003</v>
      </c>
    </row>
    <row r="2392" spans="1:14">
      <c r="A2392" t="s">
        <v>14</v>
      </c>
      <c r="B2392" t="str">
        <f>"120702200300"</f>
        <v>120702200300</v>
      </c>
      <c r="C2392" t="s">
        <v>1645</v>
      </c>
      <c r="D2392" t="s">
        <v>127</v>
      </c>
      <c r="G2392" t="s">
        <v>32</v>
      </c>
      <c r="H2392" t="s">
        <v>65</v>
      </c>
      <c r="I2392" t="s">
        <v>123</v>
      </c>
      <c r="J2392" t="s">
        <v>124</v>
      </c>
      <c r="K2392" t="s">
        <v>1133</v>
      </c>
      <c r="L2392" t="s">
        <v>63</v>
      </c>
      <c r="M2392" s="1">
        <v>37659</v>
      </c>
      <c r="N2392">
        <v>2003</v>
      </c>
    </row>
    <row r="2393" spans="1:14">
      <c r="A2393" t="s">
        <v>14</v>
      </c>
      <c r="B2393" t="str">
        <f>"120511200200"</f>
        <v>120511200200</v>
      </c>
      <c r="C2393" t="s">
        <v>1997</v>
      </c>
      <c r="D2393" t="s">
        <v>310</v>
      </c>
      <c r="G2393" t="s">
        <v>32</v>
      </c>
      <c r="H2393" t="s">
        <v>65</v>
      </c>
      <c r="I2393" t="s">
        <v>123</v>
      </c>
      <c r="J2393" t="s">
        <v>124</v>
      </c>
      <c r="K2393" t="s">
        <v>125</v>
      </c>
      <c r="L2393" t="s">
        <v>22</v>
      </c>
      <c r="M2393" s="1">
        <v>37565</v>
      </c>
      <c r="N2393">
        <v>2002</v>
      </c>
    </row>
    <row r="2394" spans="1:14">
      <c r="A2394" t="s">
        <v>14</v>
      </c>
      <c r="B2394" t="str">
        <f>"120912200300"</f>
        <v>120912200300</v>
      </c>
      <c r="C2394" t="s">
        <v>2143</v>
      </c>
      <c r="D2394" t="s">
        <v>127</v>
      </c>
      <c r="G2394" t="s">
        <v>32</v>
      </c>
      <c r="H2394" t="s">
        <v>65</v>
      </c>
      <c r="I2394" t="s">
        <v>123</v>
      </c>
      <c r="J2394" t="s">
        <v>124</v>
      </c>
      <c r="K2394" t="s">
        <v>125</v>
      </c>
      <c r="L2394" t="s">
        <v>22</v>
      </c>
      <c r="M2394" s="1">
        <v>37964</v>
      </c>
      <c r="N2394">
        <v>2003</v>
      </c>
    </row>
    <row r="2395" spans="1:14">
      <c r="A2395" t="s">
        <v>14</v>
      </c>
      <c r="B2395" t="str">
        <f>"121605200300"</f>
        <v>121605200300</v>
      </c>
      <c r="C2395" t="s">
        <v>2290</v>
      </c>
      <c r="D2395" t="s">
        <v>143</v>
      </c>
      <c r="G2395" t="s">
        <v>32</v>
      </c>
      <c r="H2395" t="s">
        <v>65</v>
      </c>
      <c r="I2395" t="s">
        <v>123</v>
      </c>
      <c r="J2395" t="s">
        <v>124</v>
      </c>
      <c r="K2395" t="s">
        <v>1133</v>
      </c>
      <c r="L2395" t="s">
        <v>22</v>
      </c>
      <c r="M2395" s="1">
        <v>37757</v>
      </c>
      <c r="N2395">
        <v>2003</v>
      </c>
    </row>
    <row r="2396" spans="1:14">
      <c r="A2396" t="s">
        <v>14</v>
      </c>
      <c r="B2396" t="str">
        <f>"120706200203"</f>
        <v>120706200203</v>
      </c>
      <c r="C2396" t="s">
        <v>2589</v>
      </c>
      <c r="D2396" t="s">
        <v>380</v>
      </c>
      <c r="G2396" t="s">
        <v>32</v>
      </c>
      <c r="H2396" t="s">
        <v>65</v>
      </c>
      <c r="I2396" t="s">
        <v>123</v>
      </c>
      <c r="J2396" t="s">
        <v>124</v>
      </c>
      <c r="K2396" t="s">
        <v>125</v>
      </c>
      <c r="M2396" s="1">
        <v>37414</v>
      </c>
      <c r="N2396">
        <v>2002</v>
      </c>
    </row>
    <row r="2397" spans="1:14">
      <c r="A2397" t="s">
        <v>14</v>
      </c>
      <c r="B2397" t="str">
        <f>"122401198900"</f>
        <v>122401198900</v>
      </c>
      <c r="C2397" t="s">
        <v>689</v>
      </c>
      <c r="D2397" t="s">
        <v>233</v>
      </c>
      <c r="G2397" t="s">
        <v>32</v>
      </c>
      <c r="H2397" t="s">
        <v>59</v>
      </c>
      <c r="I2397" t="s">
        <v>123</v>
      </c>
      <c r="J2397" t="s">
        <v>124</v>
      </c>
      <c r="K2397" t="s">
        <v>690</v>
      </c>
      <c r="L2397" t="s">
        <v>29</v>
      </c>
      <c r="M2397" s="1">
        <v>32532</v>
      </c>
      <c r="N2397">
        <v>1989</v>
      </c>
    </row>
    <row r="2398" spans="1:14">
      <c r="A2398" t="s">
        <v>14</v>
      </c>
      <c r="B2398" t="str">
        <f>"121202199701"</f>
        <v>121202199701</v>
      </c>
      <c r="C2398" t="s">
        <v>721</v>
      </c>
      <c r="D2398" t="s">
        <v>139</v>
      </c>
      <c r="G2398" t="s">
        <v>32</v>
      </c>
      <c r="H2398" t="s">
        <v>59</v>
      </c>
      <c r="I2398" t="s">
        <v>123</v>
      </c>
      <c r="J2398" t="s">
        <v>124</v>
      </c>
      <c r="K2398" t="s">
        <v>690</v>
      </c>
      <c r="L2398" t="s">
        <v>48</v>
      </c>
      <c r="M2398" s="1">
        <v>35473</v>
      </c>
      <c r="N2398">
        <v>1997</v>
      </c>
    </row>
    <row r="2399" spans="1:14">
      <c r="A2399" t="s">
        <v>14</v>
      </c>
      <c r="B2399" t="str">
        <f>"120702199800"</f>
        <v>120702199800</v>
      </c>
      <c r="C2399" t="s">
        <v>743</v>
      </c>
      <c r="D2399" t="s">
        <v>744</v>
      </c>
      <c r="G2399" t="s">
        <v>32</v>
      </c>
      <c r="H2399" t="s">
        <v>59</v>
      </c>
      <c r="I2399" t="s">
        <v>123</v>
      </c>
      <c r="J2399" t="s">
        <v>124</v>
      </c>
      <c r="K2399" t="s">
        <v>745</v>
      </c>
      <c r="L2399" t="s">
        <v>48</v>
      </c>
      <c r="M2399" s="1">
        <v>35833</v>
      </c>
      <c r="N2399">
        <v>1998</v>
      </c>
    </row>
    <row r="2400" spans="1:14">
      <c r="A2400" t="s">
        <v>14</v>
      </c>
      <c r="B2400" t="str">
        <f>"122901199601"</f>
        <v>122901199601</v>
      </c>
      <c r="C2400" t="s">
        <v>1324</v>
      </c>
      <c r="D2400" t="s">
        <v>380</v>
      </c>
      <c r="G2400" t="s">
        <v>32</v>
      </c>
      <c r="H2400" t="s">
        <v>59</v>
      </c>
      <c r="I2400" t="s">
        <v>123</v>
      </c>
      <c r="J2400" t="s">
        <v>124</v>
      </c>
      <c r="K2400" t="s">
        <v>1325</v>
      </c>
      <c r="L2400" t="s">
        <v>48</v>
      </c>
      <c r="M2400" s="1">
        <v>35093</v>
      </c>
      <c r="N2400">
        <v>1996</v>
      </c>
    </row>
    <row r="2401" spans="1:14">
      <c r="A2401" t="s">
        <v>14</v>
      </c>
      <c r="B2401" t="str">
        <f>"120207199700"</f>
        <v>120207199700</v>
      </c>
      <c r="C2401" t="s">
        <v>1988</v>
      </c>
      <c r="D2401" t="s">
        <v>1242</v>
      </c>
      <c r="G2401" t="s">
        <v>32</v>
      </c>
      <c r="H2401" t="s">
        <v>59</v>
      </c>
      <c r="I2401" t="s">
        <v>123</v>
      </c>
      <c r="J2401" t="s">
        <v>124</v>
      </c>
      <c r="K2401" t="s">
        <v>690</v>
      </c>
      <c r="L2401" t="s">
        <v>48</v>
      </c>
      <c r="M2401" s="1">
        <v>35613</v>
      </c>
      <c r="N2401">
        <v>1997</v>
      </c>
    </row>
    <row r="2402" spans="1:14">
      <c r="A2402" t="s">
        <v>14</v>
      </c>
      <c r="B2402" t="str">
        <f>"122901199600"</f>
        <v>122901199600</v>
      </c>
      <c r="C2402" t="s">
        <v>2009</v>
      </c>
      <c r="D2402" t="s">
        <v>58</v>
      </c>
      <c r="G2402" t="s">
        <v>32</v>
      </c>
      <c r="H2402" t="s">
        <v>59</v>
      </c>
      <c r="I2402" t="s">
        <v>123</v>
      </c>
      <c r="J2402" t="s">
        <v>124</v>
      </c>
      <c r="K2402" t="s">
        <v>2010</v>
      </c>
      <c r="L2402" t="s">
        <v>48</v>
      </c>
      <c r="M2402" s="1">
        <v>35093</v>
      </c>
      <c r="N2402">
        <v>1996</v>
      </c>
    </row>
    <row r="2403" spans="1:14">
      <c r="A2403" t="s">
        <v>14</v>
      </c>
      <c r="B2403" t="str">
        <f>"122504199801"</f>
        <v>122504199801</v>
      </c>
      <c r="C2403" t="s">
        <v>2020</v>
      </c>
      <c r="D2403" t="s">
        <v>385</v>
      </c>
      <c r="G2403" t="s">
        <v>32</v>
      </c>
      <c r="H2403" t="s">
        <v>59</v>
      </c>
      <c r="I2403" t="s">
        <v>123</v>
      </c>
      <c r="J2403" t="s">
        <v>124</v>
      </c>
      <c r="K2403" t="s">
        <v>624</v>
      </c>
      <c r="L2403" t="s">
        <v>63</v>
      </c>
      <c r="M2403" s="1">
        <v>35910</v>
      </c>
      <c r="N2403">
        <v>1998</v>
      </c>
    </row>
    <row r="2404" spans="1:14">
      <c r="A2404" t="s">
        <v>14</v>
      </c>
      <c r="B2404" t="str">
        <f>"123107199400"</f>
        <v>123107199400</v>
      </c>
      <c r="C2404" t="s">
        <v>2186</v>
      </c>
      <c r="D2404" t="s">
        <v>127</v>
      </c>
      <c r="G2404" t="s">
        <v>32</v>
      </c>
      <c r="H2404" t="s">
        <v>59</v>
      </c>
      <c r="I2404" t="s">
        <v>123</v>
      </c>
      <c r="J2404" t="s">
        <v>124</v>
      </c>
      <c r="K2404" t="s">
        <v>2010</v>
      </c>
      <c r="L2404" t="s">
        <v>29</v>
      </c>
      <c r="M2404" s="1">
        <v>34546</v>
      </c>
      <c r="N2404">
        <v>1994</v>
      </c>
    </row>
    <row r="2405" spans="1:14">
      <c r="A2405" t="s">
        <v>14</v>
      </c>
      <c r="B2405" t="str">
        <f>"122704199600"</f>
        <v>122704199600</v>
      </c>
      <c r="C2405" t="s">
        <v>2233</v>
      </c>
      <c r="D2405" t="s">
        <v>178</v>
      </c>
      <c r="G2405" t="s">
        <v>32</v>
      </c>
      <c r="H2405" t="s">
        <v>59</v>
      </c>
      <c r="I2405" t="s">
        <v>123</v>
      </c>
      <c r="J2405" t="s">
        <v>124</v>
      </c>
      <c r="K2405" t="s">
        <v>690</v>
      </c>
      <c r="L2405" t="s">
        <v>48</v>
      </c>
      <c r="M2405" s="1">
        <v>35182</v>
      </c>
      <c r="N2405">
        <v>1996</v>
      </c>
    </row>
    <row r="2406" spans="1:14">
      <c r="A2406" t="s">
        <v>14</v>
      </c>
      <c r="B2406" t="str">
        <f>"121909199100"</f>
        <v>121909199100</v>
      </c>
      <c r="C2406" t="s">
        <v>2411</v>
      </c>
      <c r="D2406" t="s">
        <v>178</v>
      </c>
      <c r="G2406" t="s">
        <v>32</v>
      </c>
      <c r="H2406" t="s">
        <v>59</v>
      </c>
      <c r="I2406" t="s">
        <v>123</v>
      </c>
      <c r="J2406" t="s">
        <v>124</v>
      </c>
      <c r="K2406" t="s">
        <v>690</v>
      </c>
      <c r="L2406" t="s">
        <v>29</v>
      </c>
      <c r="M2406" s="1">
        <v>33500</v>
      </c>
      <c r="N2406">
        <v>1991</v>
      </c>
    </row>
    <row r="2407" spans="1:14">
      <c r="A2407" t="s">
        <v>14</v>
      </c>
      <c r="B2407" t="str">
        <f>"121909199101"</f>
        <v>121909199101</v>
      </c>
      <c r="C2407" t="s">
        <v>2411</v>
      </c>
      <c r="D2407" t="s">
        <v>1513</v>
      </c>
      <c r="G2407" t="s">
        <v>32</v>
      </c>
      <c r="H2407" t="s">
        <v>59</v>
      </c>
      <c r="I2407" t="s">
        <v>123</v>
      </c>
      <c r="J2407" t="s">
        <v>124</v>
      </c>
      <c r="K2407" t="s">
        <v>690</v>
      </c>
      <c r="L2407" t="s">
        <v>48</v>
      </c>
      <c r="M2407" s="1">
        <v>33500</v>
      </c>
      <c r="N2407">
        <v>1991</v>
      </c>
    </row>
    <row r="2408" spans="1:14">
      <c r="A2408" t="s">
        <v>14</v>
      </c>
      <c r="B2408" t="str">
        <f>"121811199700"</f>
        <v>121811199700</v>
      </c>
      <c r="C2408" t="s">
        <v>2530</v>
      </c>
      <c r="D2408" t="s">
        <v>64</v>
      </c>
      <c r="G2408" t="s">
        <v>32</v>
      </c>
      <c r="H2408" t="s">
        <v>59</v>
      </c>
      <c r="I2408" t="s">
        <v>123</v>
      </c>
      <c r="J2408" t="s">
        <v>124</v>
      </c>
      <c r="K2408" t="s">
        <v>1133</v>
      </c>
      <c r="L2408" t="s">
        <v>48</v>
      </c>
      <c r="M2408" s="1">
        <v>35752</v>
      </c>
      <c r="N2408">
        <v>1997</v>
      </c>
    </row>
    <row r="2409" spans="1:14">
      <c r="A2409" t="s">
        <v>14</v>
      </c>
      <c r="B2409" t="str">
        <f>"122509199600"</f>
        <v>122509199600</v>
      </c>
      <c r="C2409" t="s">
        <v>2598</v>
      </c>
      <c r="D2409" t="s">
        <v>2423</v>
      </c>
      <c r="G2409" t="s">
        <v>32</v>
      </c>
      <c r="H2409" t="s">
        <v>59</v>
      </c>
      <c r="I2409" t="s">
        <v>123</v>
      </c>
      <c r="J2409" t="s">
        <v>124</v>
      </c>
      <c r="K2409" t="s">
        <v>2599</v>
      </c>
      <c r="L2409" t="s">
        <v>48</v>
      </c>
      <c r="M2409" s="1">
        <v>35333</v>
      </c>
      <c r="N2409">
        <v>1996</v>
      </c>
    </row>
    <row r="2410" spans="1:14">
      <c r="A2410" t="s">
        <v>14</v>
      </c>
      <c r="B2410" t="str">
        <f>"121802200100"</f>
        <v>121802200100</v>
      </c>
      <c r="C2410" t="s">
        <v>623</v>
      </c>
      <c r="D2410" t="s">
        <v>310</v>
      </c>
      <c r="G2410" t="s">
        <v>32</v>
      </c>
      <c r="H2410" t="s">
        <v>44</v>
      </c>
      <c r="I2410" t="s">
        <v>123</v>
      </c>
      <c r="J2410" t="s">
        <v>124</v>
      </c>
      <c r="K2410" t="s">
        <v>624</v>
      </c>
      <c r="L2410" t="s">
        <v>22</v>
      </c>
      <c r="M2410" s="1">
        <v>36940</v>
      </c>
      <c r="N2410">
        <v>2001</v>
      </c>
    </row>
    <row r="2411" spans="1:14">
      <c r="A2411" t="s">
        <v>14</v>
      </c>
      <c r="B2411" t="str">
        <f>"122609200101"</f>
        <v>122609200101</v>
      </c>
      <c r="C2411" t="s">
        <v>849</v>
      </c>
      <c r="D2411" t="s">
        <v>58</v>
      </c>
      <c r="G2411" t="s">
        <v>32</v>
      </c>
      <c r="H2411" t="s">
        <v>44</v>
      </c>
      <c r="I2411" t="s">
        <v>123</v>
      </c>
      <c r="J2411" t="s">
        <v>124</v>
      </c>
      <c r="K2411" t="s">
        <v>735</v>
      </c>
      <c r="M2411" s="1">
        <v>37160</v>
      </c>
      <c r="N2411">
        <v>2001</v>
      </c>
    </row>
    <row r="2412" spans="1:14">
      <c r="A2412" t="s">
        <v>14</v>
      </c>
      <c r="B2412" t="str">
        <f>"122907199900"</f>
        <v>122907199900</v>
      </c>
      <c r="C2412" t="s">
        <v>944</v>
      </c>
      <c r="D2412" t="s">
        <v>58</v>
      </c>
      <c r="G2412" t="s">
        <v>32</v>
      </c>
      <c r="H2412" t="s">
        <v>44</v>
      </c>
      <c r="I2412" t="s">
        <v>123</v>
      </c>
      <c r="J2412" t="s">
        <v>124</v>
      </c>
      <c r="K2412" t="s">
        <v>137</v>
      </c>
      <c r="L2412" t="s">
        <v>22</v>
      </c>
      <c r="M2412" s="1">
        <v>36370</v>
      </c>
      <c r="N2412">
        <v>1999</v>
      </c>
    </row>
    <row r="2413" spans="1:14">
      <c r="A2413" t="s">
        <v>14</v>
      </c>
      <c r="B2413" t="str">
        <f>"120212199900"</f>
        <v>120212199900</v>
      </c>
      <c r="C2413" t="s">
        <v>962</v>
      </c>
      <c r="D2413" t="s">
        <v>205</v>
      </c>
      <c r="G2413" t="s">
        <v>32</v>
      </c>
      <c r="H2413" t="s">
        <v>44</v>
      </c>
      <c r="I2413" t="s">
        <v>123</v>
      </c>
      <c r="J2413" t="s">
        <v>124</v>
      </c>
      <c r="K2413" t="s">
        <v>735</v>
      </c>
      <c r="L2413" t="s">
        <v>48</v>
      </c>
      <c r="M2413" s="1">
        <v>36496</v>
      </c>
      <c r="N2413">
        <v>1999</v>
      </c>
    </row>
    <row r="2414" spans="1:14">
      <c r="A2414" t="s">
        <v>14</v>
      </c>
      <c r="B2414" t="str">
        <f>"121805200100"</f>
        <v>121805200100</v>
      </c>
      <c r="C2414" t="s">
        <v>1034</v>
      </c>
      <c r="D2414" t="s">
        <v>233</v>
      </c>
      <c r="G2414" t="s">
        <v>32</v>
      </c>
      <c r="H2414" t="s">
        <v>44</v>
      </c>
      <c r="I2414" t="s">
        <v>123</v>
      </c>
      <c r="J2414" t="s">
        <v>124</v>
      </c>
      <c r="K2414" t="s">
        <v>1035</v>
      </c>
      <c r="L2414" t="s">
        <v>22</v>
      </c>
      <c r="M2414" s="1">
        <v>37029</v>
      </c>
      <c r="N2414">
        <v>2001</v>
      </c>
    </row>
    <row r="2415" spans="1:14">
      <c r="A2415" t="s">
        <v>14</v>
      </c>
      <c r="B2415" t="str">
        <f>"123004200100"</f>
        <v>123004200100</v>
      </c>
      <c r="C2415" t="s">
        <v>1045</v>
      </c>
      <c r="D2415" t="s">
        <v>184</v>
      </c>
      <c r="G2415" t="s">
        <v>32</v>
      </c>
      <c r="H2415" t="s">
        <v>44</v>
      </c>
      <c r="I2415" t="s">
        <v>123</v>
      </c>
      <c r="J2415" t="s">
        <v>124</v>
      </c>
      <c r="K2415" t="s">
        <v>1046</v>
      </c>
      <c r="L2415" t="s">
        <v>22</v>
      </c>
      <c r="M2415" s="1">
        <v>37011</v>
      </c>
      <c r="N2415">
        <v>2001</v>
      </c>
    </row>
    <row r="2416" spans="1:14">
      <c r="A2416" t="s">
        <v>14</v>
      </c>
      <c r="B2416" t="str">
        <f>"121406200102"</f>
        <v>121406200102</v>
      </c>
      <c r="C2416" t="s">
        <v>1216</v>
      </c>
      <c r="D2416" t="s">
        <v>551</v>
      </c>
      <c r="G2416" t="s">
        <v>32</v>
      </c>
      <c r="H2416" t="s">
        <v>44</v>
      </c>
      <c r="I2416" t="s">
        <v>123</v>
      </c>
      <c r="J2416" t="s">
        <v>124</v>
      </c>
      <c r="K2416" t="s">
        <v>735</v>
      </c>
      <c r="M2416" s="1">
        <v>37056</v>
      </c>
      <c r="N2416">
        <v>2001</v>
      </c>
    </row>
    <row r="2417" spans="1:14">
      <c r="A2417" t="s">
        <v>14</v>
      </c>
      <c r="B2417" t="str">
        <f>"122207199900"</f>
        <v>122207199900</v>
      </c>
      <c r="C2417" t="s">
        <v>1241</v>
      </c>
      <c r="D2417" t="s">
        <v>1242</v>
      </c>
      <c r="G2417" t="s">
        <v>32</v>
      </c>
      <c r="H2417" t="s">
        <v>44</v>
      </c>
      <c r="I2417" t="s">
        <v>123</v>
      </c>
      <c r="J2417" t="s">
        <v>124</v>
      </c>
      <c r="K2417" t="s">
        <v>624</v>
      </c>
      <c r="L2417" t="s">
        <v>22</v>
      </c>
      <c r="M2417" s="1">
        <v>36363</v>
      </c>
      <c r="N2417">
        <v>1999</v>
      </c>
    </row>
    <row r="2418" spans="1:14">
      <c r="A2418" t="s">
        <v>14</v>
      </c>
      <c r="B2418" t="str">
        <f>"122605199900"</f>
        <v>122605199900</v>
      </c>
      <c r="C2418" t="s">
        <v>1308</v>
      </c>
      <c r="D2418" t="s">
        <v>380</v>
      </c>
      <c r="G2418" t="s">
        <v>32</v>
      </c>
      <c r="H2418" t="s">
        <v>44</v>
      </c>
      <c r="I2418" t="s">
        <v>123</v>
      </c>
      <c r="J2418" t="s">
        <v>124</v>
      </c>
      <c r="K2418" t="s">
        <v>1046</v>
      </c>
      <c r="L2418" t="s">
        <v>63</v>
      </c>
      <c r="M2418" s="1">
        <v>36306</v>
      </c>
      <c r="N2418">
        <v>1999</v>
      </c>
    </row>
    <row r="2419" spans="1:14">
      <c r="A2419" t="s">
        <v>14</v>
      </c>
      <c r="B2419" t="str">
        <f>"121508200100"</f>
        <v>121508200100</v>
      </c>
      <c r="C2419" t="s">
        <v>1347</v>
      </c>
      <c r="D2419" t="s">
        <v>233</v>
      </c>
      <c r="G2419" t="s">
        <v>32</v>
      </c>
      <c r="H2419" t="s">
        <v>44</v>
      </c>
      <c r="I2419" t="s">
        <v>123</v>
      </c>
      <c r="J2419" t="s">
        <v>124</v>
      </c>
      <c r="K2419" t="s">
        <v>1260</v>
      </c>
      <c r="L2419" t="s">
        <v>22</v>
      </c>
      <c r="M2419" s="1">
        <v>37118</v>
      </c>
      <c r="N2419">
        <v>2001</v>
      </c>
    </row>
    <row r="2420" spans="1:14">
      <c r="A2420" t="s">
        <v>14</v>
      </c>
      <c r="B2420" t="str">
        <f>"120106200000"</f>
        <v>120106200000</v>
      </c>
      <c r="C2420" t="s">
        <v>1441</v>
      </c>
      <c r="D2420" t="s">
        <v>127</v>
      </c>
      <c r="G2420" t="s">
        <v>32</v>
      </c>
      <c r="H2420" t="s">
        <v>44</v>
      </c>
      <c r="I2420" t="s">
        <v>123</v>
      </c>
      <c r="J2420" t="s">
        <v>124</v>
      </c>
      <c r="K2420" t="s">
        <v>361</v>
      </c>
      <c r="L2420" t="s">
        <v>63</v>
      </c>
      <c r="M2420" s="1">
        <v>36678</v>
      </c>
      <c r="N2420">
        <v>2000</v>
      </c>
    </row>
    <row r="2421" spans="1:14">
      <c r="A2421" t="s">
        <v>14</v>
      </c>
      <c r="B2421" t="str">
        <f>"121812200103"</f>
        <v>121812200103</v>
      </c>
      <c r="C2421" t="s">
        <v>1552</v>
      </c>
      <c r="D2421" t="s">
        <v>143</v>
      </c>
      <c r="G2421" t="s">
        <v>32</v>
      </c>
      <c r="H2421" t="s">
        <v>44</v>
      </c>
      <c r="I2421" t="s">
        <v>123</v>
      </c>
      <c r="J2421" t="s">
        <v>124</v>
      </c>
      <c r="K2421" t="s">
        <v>1260</v>
      </c>
      <c r="L2421" t="s">
        <v>22</v>
      </c>
      <c r="M2421" s="1">
        <v>37243</v>
      </c>
      <c r="N2421">
        <v>2001</v>
      </c>
    </row>
    <row r="2422" spans="1:14">
      <c r="A2422" t="s">
        <v>14</v>
      </c>
      <c r="B2422" t="str">
        <f>"121108199900"</f>
        <v>121108199900</v>
      </c>
      <c r="C2422" t="s">
        <v>1566</v>
      </c>
      <c r="D2422" t="s">
        <v>310</v>
      </c>
      <c r="G2422" t="s">
        <v>32</v>
      </c>
      <c r="H2422" t="s">
        <v>44</v>
      </c>
      <c r="I2422" t="s">
        <v>123</v>
      </c>
      <c r="J2422" t="s">
        <v>124</v>
      </c>
      <c r="K2422" t="s">
        <v>690</v>
      </c>
      <c r="L2422" t="s">
        <v>63</v>
      </c>
      <c r="M2422" s="1">
        <v>36383</v>
      </c>
      <c r="N2422">
        <v>1999</v>
      </c>
    </row>
    <row r="2423" spans="1:14">
      <c r="A2423" t="s">
        <v>14</v>
      </c>
      <c r="B2423" t="str">
        <f>"120806200001"</f>
        <v>120806200001</v>
      </c>
      <c r="C2423" t="s">
        <v>2022</v>
      </c>
      <c r="D2423" t="s">
        <v>611</v>
      </c>
      <c r="G2423" t="s">
        <v>32</v>
      </c>
      <c r="H2423" t="s">
        <v>44</v>
      </c>
      <c r="I2423" t="s">
        <v>123</v>
      </c>
      <c r="J2423" t="s">
        <v>124</v>
      </c>
      <c r="K2423" t="s">
        <v>1046</v>
      </c>
      <c r="L2423" t="s">
        <v>22</v>
      </c>
      <c r="M2423" s="1">
        <v>36685</v>
      </c>
      <c r="N2423">
        <v>2000</v>
      </c>
    </row>
    <row r="2424" spans="1:14">
      <c r="A2424" t="s">
        <v>14</v>
      </c>
      <c r="B2424" t="str">
        <f>"120810199900"</f>
        <v>120810199900</v>
      </c>
      <c r="C2424" t="s">
        <v>2208</v>
      </c>
      <c r="D2424" t="s">
        <v>409</v>
      </c>
      <c r="G2424" t="s">
        <v>32</v>
      </c>
      <c r="H2424" t="s">
        <v>44</v>
      </c>
      <c r="I2424" t="s">
        <v>123</v>
      </c>
      <c r="J2424" t="s">
        <v>124</v>
      </c>
      <c r="K2424" t="s">
        <v>2209</v>
      </c>
      <c r="L2424" t="s">
        <v>63</v>
      </c>
      <c r="M2424" s="1">
        <v>36441</v>
      </c>
      <c r="N2424">
        <v>1999</v>
      </c>
    </row>
    <row r="2425" spans="1:14">
      <c r="A2425" t="s">
        <v>14</v>
      </c>
      <c r="B2425" t="str">
        <f>"121408200101"</f>
        <v>121408200101</v>
      </c>
      <c r="C2425" t="s">
        <v>2342</v>
      </c>
      <c r="D2425" t="s">
        <v>263</v>
      </c>
      <c r="G2425" t="s">
        <v>32</v>
      </c>
      <c r="H2425" t="s">
        <v>44</v>
      </c>
      <c r="I2425" t="s">
        <v>123</v>
      </c>
      <c r="J2425" t="s">
        <v>124</v>
      </c>
      <c r="K2425" t="s">
        <v>125</v>
      </c>
      <c r="M2425" s="1">
        <v>37117</v>
      </c>
      <c r="N2425">
        <v>2001</v>
      </c>
    </row>
    <row r="2426" spans="1:14">
      <c r="A2426" t="s">
        <v>14</v>
      </c>
      <c r="B2426" t="str">
        <f>"123012200101"</f>
        <v>123012200101</v>
      </c>
      <c r="C2426" t="s">
        <v>2411</v>
      </c>
      <c r="D2426" t="s">
        <v>2412</v>
      </c>
      <c r="G2426" t="s">
        <v>32</v>
      </c>
      <c r="H2426" t="s">
        <v>44</v>
      </c>
      <c r="I2426" t="s">
        <v>123</v>
      </c>
      <c r="J2426" t="s">
        <v>124</v>
      </c>
      <c r="K2426" t="s">
        <v>735</v>
      </c>
      <c r="L2426" t="s">
        <v>22</v>
      </c>
      <c r="M2426" s="1">
        <v>37255</v>
      </c>
      <c r="N2426">
        <v>2001</v>
      </c>
    </row>
    <row r="2427" spans="1:14">
      <c r="A2427" t="s">
        <v>14</v>
      </c>
      <c r="B2427" t="str">
        <f>"121910199900"</f>
        <v>121910199900</v>
      </c>
      <c r="C2427" t="s">
        <v>2429</v>
      </c>
      <c r="D2427" t="s">
        <v>233</v>
      </c>
      <c r="G2427" t="s">
        <v>32</v>
      </c>
      <c r="H2427" t="s">
        <v>44</v>
      </c>
      <c r="I2427" t="s">
        <v>123</v>
      </c>
      <c r="J2427" t="s">
        <v>124</v>
      </c>
      <c r="K2427" t="s">
        <v>1046</v>
      </c>
      <c r="L2427" t="s">
        <v>63</v>
      </c>
      <c r="M2427" s="1">
        <v>36452</v>
      </c>
      <c r="N2427">
        <v>1999</v>
      </c>
    </row>
    <row r="2428" spans="1:14">
      <c r="A2428" t="s">
        <v>14</v>
      </c>
      <c r="B2428" t="str">
        <f>"120806199900"</f>
        <v>120806199900</v>
      </c>
      <c r="C2428" t="s">
        <v>2558</v>
      </c>
      <c r="D2428" t="s">
        <v>2559</v>
      </c>
      <c r="G2428" t="s">
        <v>32</v>
      </c>
      <c r="H2428" t="s">
        <v>44</v>
      </c>
      <c r="I2428" t="s">
        <v>123</v>
      </c>
      <c r="J2428" t="s">
        <v>124</v>
      </c>
      <c r="K2428" t="s">
        <v>1260</v>
      </c>
      <c r="L2428" t="s">
        <v>22</v>
      </c>
      <c r="M2428" s="1">
        <v>36319</v>
      </c>
      <c r="N2428">
        <v>1999</v>
      </c>
    </row>
    <row r="2429" spans="1:14">
      <c r="A2429" t="s">
        <v>14</v>
      </c>
      <c r="B2429" t="str">
        <f>"121510200100"</f>
        <v>121510200100</v>
      </c>
      <c r="C2429" t="s">
        <v>2631</v>
      </c>
      <c r="D2429" t="s">
        <v>2632</v>
      </c>
      <c r="G2429" t="s">
        <v>32</v>
      </c>
      <c r="H2429" t="s">
        <v>44</v>
      </c>
      <c r="I2429" t="s">
        <v>123</v>
      </c>
      <c r="J2429" t="s">
        <v>124</v>
      </c>
      <c r="K2429" t="s">
        <v>1133</v>
      </c>
      <c r="L2429" t="s">
        <v>63</v>
      </c>
      <c r="M2429" s="1">
        <v>37179</v>
      </c>
      <c r="N2429">
        <v>2001</v>
      </c>
    </row>
    <row r="2430" spans="1:14">
      <c r="A2430" t="s">
        <v>14</v>
      </c>
      <c r="B2430" t="str">
        <f>"120602200100"</f>
        <v>120602200100</v>
      </c>
      <c r="C2430" t="s">
        <v>2639</v>
      </c>
      <c r="D2430" t="s">
        <v>184</v>
      </c>
      <c r="G2430" t="s">
        <v>32</v>
      </c>
      <c r="H2430" t="s">
        <v>44</v>
      </c>
      <c r="I2430" t="s">
        <v>123</v>
      </c>
      <c r="J2430" t="s">
        <v>124</v>
      </c>
      <c r="K2430" t="s">
        <v>1046</v>
      </c>
      <c r="L2430" t="s">
        <v>22</v>
      </c>
      <c r="M2430" s="1">
        <v>36928</v>
      </c>
      <c r="N2430">
        <v>2001</v>
      </c>
    </row>
    <row r="2431" spans="1:14">
      <c r="A2431" t="s">
        <v>14</v>
      </c>
      <c r="B2431" t="str">
        <f>"122302200101"</f>
        <v>122302200101</v>
      </c>
      <c r="C2431" t="s">
        <v>2674</v>
      </c>
      <c r="D2431" t="s">
        <v>353</v>
      </c>
      <c r="G2431" t="s">
        <v>32</v>
      </c>
      <c r="H2431" t="s">
        <v>44</v>
      </c>
      <c r="I2431" t="s">
        <v>123</v>
      </c>
      <c r="J2431" t="s">
        <v>124</v>
      </c>
      <c r="K2431" t="s">
        <v>1046</v>
      </c>
      <c r="L2431" t="s">
        <v>22</v>
      </c>
      <c r="M2431" s="1">
        <v>36945</v>
      </c>
      <c r="N2431">
        <v>2001</v>
      </c>
    </row>
    <row r="2432" spans="1:14">
      <c r="A2432" t="s">
        <v>14</v>
      </c>
      <c r="B2432" t="str">
        <f>"120701200100"</f>
        <v>120701200100</v>
      </c>
      <c r="C2432" t="s">
        <v>2688</v>
      </c>
      <c r="D2432" t="s">
        <v>223</v>
      </c>
      <c r="G2432" t="s">
        <v>32</v>
      </c>
      <c r="H2432" t="s">
        <v>44</v>
      </c>
      <c r="I2432" t="s">
        <v>123</v>
      </c>
      <c r="J2432" t="s">
        <v>124</v>
      </c>
      <c r="K2432" t="s">
        <v>624</v>
      </c>
      <c r="L2432" t="s">
        <v>22</v>
      </c>
      <c r="M2432" s="1">
        <v>36898</v>
      </c>
      <c r="N2432">
        <v>2001</v>
      </c>
    </row>
    <row r="2433" spans="1:14">
      <c r="A2433" t="s">
        <v>14</v>
      </c>
      <c r="B2433" t="str">
        <f>"122903200100"</f>
        <v>122903200100</v>
      </c>
      <c r="C2433" t="s">
        <v>2794</v>
      </c>
      <c r="D2433" t="s">
        <v>194</v>
      </c>
      <c r="G2433" t="s">
        <v>32</v>
      </c>
      <c r="H2433" t="s">
        <v>44</v>
      </c>
      <c r="I2433" t="s">
        <v>123</v>
      </c>
      <c r="J2433" t="s">
        <v>124</v>
      </c>
      <c r="K2433" t="s">
        <v>690</v>
      </c>
      <c r="L2433" t="s">
        <v>22</v>
      </c>
      <c r="M2433" s="1">
        <v>36979</v>
      </c>
      <c r="N2433">
        <v>2001</v>
      </c>
    </row>
    <row r="2434" spans="1:14">
      <c r="A2434" t="s">
        <v>14</v>
      </c>
      <c r="B2434" t="str">
        <f>"122701200100"</f>
        <v>122701200100</v>
      </c>
      <c r="C2434" t="s">
        <v>2798</v>
      </c>
      <c r="D2434" t="s">
        <v>493</v>
      </c>
      <c r="G2434" t="s">
        <v>32</v>
      </c>
      <c r="H2434" t="s">
        <v>44</v>
      </c>
      <c r="I2434" t="s">
        <v>123</v>
      </c>
      <c r="J2434" t="s">
        <v>124</v>
      </c>
      <c r="K2434" t="s">
        <v>1046</v>
      </c>
      <c r="L2434" t="s">
        <v>22</v>
      </c>
      <c r="M2434" s="1">
        <v>36918</v>
      </c>
      <c r="N2434">
        <v>2001</v>
      </c>
    </row>
    <row r="2435" spans="1:14">
      <c r="A2435" t="s">
        <v>14</v>
      </c>
      <c r="B2435" t="str">
        <f>"121606200100"</f>
        <v>121606200100</v>
      </c>
      <c r="C2435" t="s">
        <v>2870</v>
      </c>
      <c r="D2435" t="s">
        <v>233</v>
      </c>
      <c r="G2435" t="s">
        <v>32</v>
      </c>
      <c r="H2435" t="s">
        <v>44</v>
      </c>
      <c r="I2435" t="s">
        <v>123</v>
      </c>
      <c r="J2435" t="s">
        <v>124</v>
      </c>
      <c r="K2435" t="s">
        <v>125</v>
      </c>
      <c r="M2435" s="1">
        <v>37058</v>
      </c>
      <c r="N2435">
        <v>2001</v>
      </c>
    </row>
    <row r="2436" spans="1:14">
      <c r="A2436" t="s">
        <v>14</v>
      </c>
      <c r="B2436" t="str">
        <f>"113003199800"</f>
        <v>113003199800</v>
      </c>
      <c r="C2436" t="s">
        <v>597</v>
      </c>
      <c r="D2436" t="s">
        <v>70</v>
      </c>
      <c r="G2436" t="s">
        <v>17</v>
      </c>
      <c r="H2436" t="s">
        <v>25</v>
      </c>
      <c r="I2436" t="s">
        <v>123</v>
      </c>
      <c r="J2436" t="s">
        <v>124</v>
      </c>
      <c r="K2436" t="s">
        <v>598</v>
      </c>
      <c r="L2436" t="s">
        <v>63</v>
      </c>
      <c r="M2436" s="1">
        <v>35884</v>
      </c>
      <c r="N2436">
        <v>1998</v>
      </c>
    </row>
    <row r="2437" spans="1:14">
      <c r="A2437" t="s">
        <v>14</v>
      </c>
      <c r="B2437" t="str">
        <f>"110405199800"</f>
        <v>110405199800</v>
      </c>
      <c r="C2437" t="s">
        <v>612</v>
      </c>
      <c r="D2437" t="s">
        <v>115</v>
      </c>
      <c r="G2437" t="s">
        <v>17</v>
      </c>
      <c r="H2437" t="s">
        <v>25</v>
      </c>
      <c r="I2437" t="s">
        <v>123</v>
      </c>
      <c r="J2437" t="s">
        <v>124</v>
      </c>
      <c r="K2437" t="s">
        <v>613</v>
      </c>
      <c r="L2437" t="s">
        <v>48</v>
      </c>
      <c r="M2437" s="1">
        <v>35919</v>
      </c>
      <c r="N2437">
        <v>1998</v>
      </c>
    </row>
    <row r="2438" spans="1:14">
      <c r="A2438" t="s">
        <v>14</v>
      </c>
      <c r="B2438" t="str">
        <f>"112612199401"</f>
        <v>112612199401</v>
      </c>
      <c r="C2438" t="s">
        <v>1202</v>
      </c>
      <c r="D2438" t="s">
        <v>24</v>
      </c>
      <c r="G2438" t="s">
        <v>17</v>
      </c>
      <c r="H2438" t="s">
        <v>25</v>
      </c>
      <c r="I2438" t="s">
        <v>123</v>
      </c>
      <c r="J2438" t="s">
        <v>124</v>
      </c>
      <c r="K2438" t="s">
        <v>1206</v>
      </c>
      <c r="L2438" t="s">
        <v>48</v>
      </c>
      <c r="M2438" s="1">
        <v>34694</v>
      </c>
      <c r="N2438">
        <v>1994</v>
      </c>
    </row>
    <row r="2439" spans="1:14">
      <c r="A2439" t="s">
        <v>14</v>
      </c>
      <c r="B2439" t="str">
        <f>"112805199800"</f>
        <v>112805199800</v>
      </c>
      <c r="C2439" t="s">
        <v>1828</v>
      </c>
      <c r="D2439" t="s">
        <v>24</v>
      </c>
      <c r="G2439" t="s">
        <v>17</v>
      </c>
      <c r="H2439" t="s">
        <v>25</v>
      </c>
      <c r="I2439" t="s">
        <v>123</v>
      </c>
      <c r="J2439" t="s">
        <v>124</v>
      </c>
      <c r="K2439" t="s">
        <v>624</v>
      </c>
      <c r="L2439" t="s">
        <v>63</v>
      </c>
      <c r="M2439" s="1">
        <v>35943</v>
      </c>
      <c r="N2439">
        <v>1998</v>
      </c>
    </row>
    <row r="2440" spans="1:14">
      <c r="A2440" t="s">
        <v>14</v>
      </c>
      <c r="B2440" t="str">
        <f>"112410199700"</f>
        <v>112410199700</v>
      </c>
      <c r="C2440" t="s">
        <v>2021</v>
      </c>
      <c r="D2440" t="s">
        <v>283</v>
      </c>
      <c r="G2440" t="s">
        <v>17</v>
      </c>
      <c r="H2440" t="s">
        <v>25</v>
      </c>
      <c r="I2440" t="s">
        <v>123</v>
      </c>
      <c r="J2440" t="s">
        <v>124</v>
      </c>
      <c r="K2440" t="s">
        <v>613</v>
      </c>
      <c r="L2440" t="s">
        <v>48</v>
      </c>
      <c r="M2440" s="1">
        <v>35727</v>
      </c>
      <c r="N2440">
        <v>1997</v>
      </c>
    </row>
    <row r="2441" spans="1:14">
      <c r="A2441" t="s">
        <v>14</v>
      </c>
      <c r="B2441" t="str">
        <f>"110605199600"</f>
        <v>110605199600</v>
      </c>
      <c r="C2441" t="s">
        <v>2058</v>
      </c>
      <c r="D2441" t="s">
        <v>373</v>
      </c>
      <c r="G2441" t="s">
        <v>17</v>
      </c>
      <c r="H2441" t="s">
        <v>25</v>
      </c>
      <c r="I2441" t="s">
        <v>123</v>
      </c>
      <c r="J2441" t="s">
        <v>124</v>
      </c>
      <c r="K2441" t="s">
        <v>2059</v>
      </c>
      <c r="L2441" t="s">
        <v>48</v>
      </c>
      <c r="M2441" s="1">
        <v>35191</v>
      </c>
      <c r="N2441">
        <v>1996</v>
      </c>
    </row>
    <row r="2442" spans="1:14">
      <c r="A2442" t="s">
        <v>14</v>
      </c>
      <c r="B2442" t="str">
        <f>"111001199100"</f>
        <v>111001199100</v>
      </c>
      <c r="C2442" t="s">
        <v>2090</v>
      </c>
      <c r="D2442" t="s">
        <v>2091</v>
      </c>
      <c r="G2442" t="s">
        <v>17</v>
      </c>
      <c r="H2442" t="s">
        <v>25</v>
      </c>
      <c r="I2442" t="s">
        <v>123</v>
      </c>
      <c r="J2442" t="s">
        <v>124</v>
      </c>
      <c r="K2442" t="s">
        <v>2092</v>
      </c>
      <c r="L2442" t="s">
        <v>29</v>
      </c>
      <c r="M2442" s="1">
        <v>33248</v>
      </c>
      <c r="N2442">
        <v>1991</v>
      </c>
    </row>
    <row r="2443" spans="1:14">
      <c r="A2443" t="s">
        <v>14</v>
      </c>
      <c r="B2443" t="str">
        <f>"110503199601"</f>
        <v>110503199601</v>
      </c>
      <c r="C2443" t="s">
        <v>2185</v>
      </c>
      <c r="D2443" t="s">
        <v>129</v>
      </c>
      <c r="G2443" t="s">
        <v>17</v>
      </c>
      <c r="H2443" t="s">
        <v>25</v>
      </c>
      <c r="I2443" t="s">
        <v>123</v>
      </c>
      <c r="J2443" t="s">
        <v>124</v>
      </c>
      <c r="K2443" t="s">
        <v>2010</v>
      </c>
      <c r="L2443" t="s">
        <v>29</v>
      </c>
      <c r="M2443" s="1">
        <v>35129</v>
      </c>
      <c r="N2443">
        <v>1996</v>
      </c>
    </row>
    <row r="2444" spans="1:14">
      <c r="A2444" t="s">
        <v>14</v>
      </c>
      <c r="B2444" t="str">
        <f>"110301199801"</f>
        <v>110301199801</v>
      </c>
      <c r="C2444" t="s">
        <v>2358</v>
      </c>
      <c r="D2444" t="s">
        <v>89</v>
      </c>
      <c r="G2444" t="s">
        <v>17</v>
      </c>
      <c r="H2444" t="s">
        <v>25</v>
      </c>
      <c r="I2444" t="s">
        <v>123</v>
      </c>
      <c r="J2444" t="s">
        <v>124</v>
      </c>
      <c r="K2444" t="s">
        <v>2010</v>
      </c>
      <c r="L2444" t="s">
        <v>48</v>
      </c>
      <c r="M2444" s="1">
        <v>35798</v>
      </c>
      <c r="N2444">
        <v>1998</v>
      </c>
    </row>
    <row r="2445" spans="1:14">
      <c r="A2445" t="s">
        <v>14</v>
      </c>
      <c r="B2445" t="str">
        <f>"112610199200"</f>
        <v>112610199200</v>
      </c>
      <c r="C2445" t="s">
        <v>2496</v>
      </c>
      <c r="D2445" t="s">
        <v>294</v>
      </c>
      <c r="G2445" t="s">
        <v>17</v>
      </c>
      <c r="H2445" t="s">
        <v>25</v>
      </c>
      <c r="I2445" t="s">
        <v>123</v>
      </c>
      <c r="J2445" t="s">
        <v>124</v>
      </c>
      <c r="K2445" t="s">
        <v>2010</v>
      </c>
      <c r="L2445" t="s">
        <v>29</v>
      </c>
      <c r="M2445" s="1">
        <v>33903</v>
      </c>
      <c r="N2445">
        <v>1992</v>
      </c>
    </row>
    <row r="2446" spans="1:14">
      <c r="A2446" t="s">
        <v>14</v>
      </c>
      <c r="B2446" t="str">
        <f>"112302199200"</f>
        <v>112302199200</v>
      </c>
      <c r="C2446" t="s">
        <v>2554</v>
      </c>
      <c r="D2446" t="s">
        <v>53</v>
      </c>
      <c r="G2446" t="s">
        <v>17</v>
      </c>
      <c r="H2446" t="s">
        <v>25</v>
      </c>
      <c r="I2446" t="s">
        <v>123</v>
      </c>
      <c r="J2446" t="s">
        <v>124</v>
      </c>
      <c r="K2446" t="s">
        <v>2555</v>
      </c>
      <c r="L2446" t="s">
        <v>48</v>
      </c>
      <c r="M2446" s="1">
        <v>33657</v>
      </c>
      <c r="N2446">
        <v>1992</v>
      </c>
    </row>
    <row r="2447" spans="1:14">
      <c r="A2447" t="s">
        <v>14</v>
      </c>
      <c r="B2447" t="str">
        <f>"111805199000"</f>
        <v>111805199000</v>
      </c>
      <c r="C2447" t="s">
        <v>2654</v>
      </c>
      <c r="D2447" t="s">
        <v>292</v>
      </c>
      <c r="G2447" t="s">
        <v>17</v>
      </c>
      <c r="H2447" t="s">
        <v>25</v>
      </c>
      <c r="I2447" t="s">
        <v>123</v>
      </c>
      <c r="J2447" t="s">
        <v>124</v>
      </c>
      <c r="K2447" t="s">
        <v>2655</v>
      </c>
      <c r="L2447" t="s">
        <v>29</v>
      </c>
      <c r="M2447" s="1">
        <v>33011</v>
      </c>
      <c r="N2447">
        <v>1990</v>
      </c>
    </row>
    <row r="2448" spans="1:14">
      <c r="A2448" t="s">
        <v>14</v>
      </c>
      <c r="B2448" t="str">
        <f>"111109199801"</f>
        <v>111109199801</v>
      </c>
      <c r="C2448" t="s">
        <v>2833</v>
      </c>
      <c r="D2448" t="s">
        <v>902</v>
      </c>
      <c r="G2448" t="s">
        <v>17</v>
      </c>
      <c r="H2448" t="s">
        <v>25</v>
      </c>
      <c r="I2448" t="s">
        <v>123</v>
      </c>
      <c r="J2448" t="s">
        <v>124</v>
      </c>
      <c r="K2448" t="s">
        <v>2834</v>
      </c>
      <c r="L2448" t="s">
        <v>63</v>
      </c>
      <c r="M2448" s="1">
        <v>36049</v>
      </c>
      <c r="N2448">
        <v>1998</v>
      </c>
    </row>
    <row r="2449" spans="1:14">
      <c r="A2449" t="s">
        <v>14</v>
      </c>
      <c r="B2449" t="str">
        <f>"112904200100"</f>
        <v>112904200100</v>
      </c>
      <c r="C2449" t="s">
        <v>128</v>
      </c>
      <c r="D2449" t="s">
        <v>129</v>
      </c>
      <c r="G2449" t="s">
        <v>17</v>
      </c>
      <c r="H2449" t="s">
        <v>18</v>
      </c>
      <c r="I2449" t="s">
        <v>123</v>
      </c>
      <c r="J2449" t="s">
        <v>124</v>
      </c>
      <c r="K2449" t="s">
        <v>130</v>
      </c>
      <c r="L2449" t="s">
        <v>22</v>
      </c>
      <c r="M2449" s="1">
        <v>37010</v>
      </c>
      <c r="N2449">
        <v>2001</v>
      </c>
    </row>
    <row r="2450" spans="1:14">
      <c r="A2450" t="s">
        <v>14</v>
      </c>
      <c r="B2450" t="str">
        <f>"110505200001"</f>
        <v>110505200001</v>
      </c>
      <c r="C2450" t="s">
        <v>444</v>
      </c>
      <c r="D2450" t="s">
        <v>445</v>
      </c>
      <c r="G2450" t="s">
        <v>17</v>
      </c>
      <c r="H2450" t="s">
        <v>18</v>
      </c>
      <c r="I2450" t="s">
        <v>123</v>
      </c>
      <c r="J2450" t="s">
        <v>124</v>
      </c>
      <c r="K2450" t="s">
        <v>446</v>
      </c>
      <c r="L2450" t="s">
        <v>63</v>
      </c>
      <c r="M2450" s="1">
        <v>36651</v>
      </c>
      <c r="N2450">
        <v>2000</v>
      </c>
    </row>
    <row r="2451" spans="1:14">
      <c r="A2451" t="s">
        <v>14</v>
      </c>
      <c r="B2451" t="str">
        <f>"110308200101"</f>
        <v>110308200101</v>
      </c>
      <c r="C2451" t="s">
        <v>779</v>
      </c>
      <c r="D2451" t="s">
        <v>342</v>
      </c>
      <c r="G2451" t="s">
        <v>17</v>
      </c>
      <c r="H2451" t="s">
        <v>18</v>
      </c>
      <c r="I2451" t="s">
        <v>123</v>
      </c>
      <c r="J2451" t="s">
        <v>124</v>
      </c>
      <c r="K2451" t="s">
        <v>690</v>
      </c>
      <c r="L2451" t="s">
        <v>48</v>
      </c>
      <c r="M2451" s="1">
        <v>37106</v>
      </c>
      <c r="N2451">
        <v>2001</v>
      </c>
    </row>
    <row r="2452" spans="1:14">
      <c r="A2452" t="s">
        <v>14</v>
      </c>
      <c r="B2452" t="str">
        <f>"112509200101"</f>
        <v>112509200101</v>
      </c>
      <c r="C2452" t="s">
        <v>825</v>
      </c>
      <c r="D2452" t="s">
        <v>89</v>
      </c>
      <c r="G2452" t="s">
        <v>17</v>
      </c>
      <c r="H2452" t="s">
        <v>18</v>
      </c>
      <c r="I2452" t="s">
        <v>123</v>
      </c>
      <c r="J2452" t="s">
        <v>124</v>
      </c>
      <c r="K2452" t="s">
        <v>361</v>
      </c>
      <c r="L2452" t="s">
        <v>22</v>
      </c>
      <c r="M2452" s="1">
        <v>37159</v>
      </c>
      <c r="N2452">
        <v>2001</v>
      </c>
    </row>
    <row r="2453" spans="1:14">
      <c r="A2453" t="s">
        <v>14</v>
      </c>
      <c r="B2453" t="str">
        <f>"112107199900"</f>
        <v>112107199900</v>
      </c>
      <c r="C2453" t="s">
        <v>1009</v>
      </c>
      <c r="D2453" t="s">
        <v>268</v>
      </c>
      <c r="G2453" t="s">
        <v>17</v>
      </c>
      <c r="H2453" t="s">
        <v>18</v>
      </c>
      <c r="I2453" t="s">
        <v>123</v>
      </c>
      <c r="J2453" t="s">
        <v>124</v>
      </c>
      <c r="K2453" t="s">
        <v>125</v>
      </c>
      <c r="L2453" t="s">
        <v>22</v>
      </c>
      <c r="M2453" s="1">
        <v>36362</v>
      </c>
      <c r="N2453">
        <v>1999</v>
      </c>
    </row>
    <row r="2454" spans="1:14">
      <c r="A2454" t="s">
        <v>14</v>
      </c>
      <c r="B2454" t="str">
        <f>"110211200100"</f>
        <v>110211200100</v>
      </c>
      <c r="C2454" t="s">
        <v>1102</v>
      </c>
      <c r="D2454" t="s">
        <v>1103</v>
      </c>
      <c r="G2454" t="s">
        <v>17</v>
      </c>
      <c r="H2454" t="s">
        <v>18</v>
      </c>
      <c r="I2454" t="s">
        <v>123</v>
      </c>
      <c r="J2454" t="s">
        <v>124</v>
      </c>
      <c r="K2454" t="s">
        <v>735</v>
      </c>
      <c r="M2454" s="1">
        <v>37197</v>
      </c>
      <c r="N2454">
        <v>2001</v>
      </c>
    </row>
    <row r="2455" spans="1:14">
      <c r="A2455" t="s">
        <v>14</v>
      </c>
      <c r="B2455" t="str">
        <f>"112703200100"</f>
        <v>112703200100</v>
      </c>
      <c r="C2455" t="s">
        <v>1126</v>
      </c>
      <c r="D2455" t="s">
        <v>70</v>
      </c>
      <c r="G2455" t="s">
        <v>17</v>
      </c>
      <c r="H2455" t="s">
        <v>18</v>
      </c>
      <c r="I2455" t="s">
        <v>123</v>
      </c>
      <c r="J2455" t="s">
        <v>124</v>
      </c>
      <c r="K2455" t="s">
        <v>827</v>
      </c>
      <c r="M2455" s="1">
        <v>36977</v>
      </c>
      <c r="N2455">
        <v>2001</v>
      </c>
    </row>
    <row r="2456" spans="1:14">
      <c r="A2456" t="s">
        <v>14</v>
      </c>
      <c r="B2456" t="str">
        <f>"111204199900"</f>
        <v>111204199900</v>
      </c>
      <c r="C2456" t="s">
        <v>1158</v>
      </c>
      <c r="D2456" t="s">
        <v>268</v>
      </c>
      <c r="G2456" t="s">
        <v>17</v>
      </c>
      <c r="H2456" t="s">
        <v>18</v>
      </c>
      <c r="I2456" t="s">
        <v>123</v>
      </c>
      <c r="J2456" t="s">
        <v>124</v>
      </c>
      <c r="K2456" t="s">
        <v>125</v>
      </c>
      <c r="L2456" t="s">
        <v>22</v>
      </c>
      <c r="M2456" s="1">
        <v>36262</v>
      </c>
      <c r="N2456">
        <v>1999</v>
      </c>
    </row>
    <row r="2457" spans="1:14">
      <c r="A2457" t="s">
        <v>14</v>
      </c>
      <c r="B2457" t="str">
        <f>"111102200001"</f>
        <v>111102200001</v>
      </c>
      <c r="C2457" t="s">
        <v>1163</v>
      </c>
      <c r="D2457" t="s">
        <v>1164</v>
      </c>
      <c r="G2457" t="s">
        <v>17</v>
      </c>
      <c r="H2457" t="s">
        <v>18</v>
      </c>
      <c r="I2457" t="s">
        <v>123</v>
      </c>
      <c r="J2457" t="s">
        <v>124</v>
      </c>
      <c r="K2457" t="s">
        <v>1165</v>
      </c>
      <c r="L2457" t="s">
        <v>48</v>
      </c>
      <c r="M2457" s="1">
        <v>36567</v>
      </c>
      <c r="N2457">
        <v>2000</v>
      </c>
    </row>
    <row r="2458" spans="1:14">
      <c r="A2458" t="s">
        <v>14</v>
      </c>
      <c r="B2458" t="str">
        <f>"112503200001"</f>
        <v>112503200001</v>
      </c>
      <c r="C2458" t="s">
        <v>1172</v>
      </c>
      <c r="D2458" t="s">
        <v>344</v>
      </c>
      <c r="G2458" t="s">
        <v>17</v>
      </c>
      <c r="H2458" t="s">
        <v>18</v>
      </c>
      <c r="I2458" t="s">
        <v>123</v>
      </c>
      <c r="J2458" t="s">
        <v>124</v>
      </c>
      <c r="K2458" t="s">
        <v>690</v>
      </c>
      <c r="L2458" t="s">
        <v>63</v>
      </c>
      <c r="M2458" s="1">
        <v>36610</v>
      </c>
      <c r="N2458">
        <v>2000</v>
      </c>
    </row>
    <row r="2459" spans="1:14">
      <c r="A2459" t="s">
        <v>14</v>
      </c>
      <c r="B2459" t="str">
        <f>"112709200101"</f>
        <v>112709200101</v>
      </c>
      <c r="C2459" t="s">
        <v>1183</v>
      </c>
      <c r="D2459" t="s">
        <v>1184</v>
      </c>
      <c r="G2459" t="s">
        <v>17</v>
      </c>
      <c r="H2459" t="s">
        <v>18</v>
      </c>
      <c r="I2459" t="s">
        <v>123</v>
      </c>
      <c r="J2459" t="s">
        <v>124</v>
      </c>
      <c r="K2459" t="s">
        <v>361</v>
      </c>
      <c r="L2459" t="s">
        <v>22</v>
      </c>
      <c r="M2459" s="1">
        <v>37161</v>
      </c>
      <c r="N2459">
        <v>2001</v>
      </c>
    </row>
    <row r="2460" spans="1:14">
      <c r="A2460" t="s">
        <v>14</v>
      </c>
      <c r="B2460" t="str">
        <f>"110406199901"</f>
        <v>110406199901</v>
      </c>
      <c r="C2460" t="s">
        <v>1384</v>
      </c>
      <c r="D2460" t="s">
        <v>1103</v>
      </c>
      <c r="G2460" t="s">
        <v>17</v>
      </c>
      <c r="H2460" t="s">
        <v>18</v>
      </c>
      <c r="I2460" t="s">
        <v>123</v>
      </c>
      <c r="J2460" t="s">
        <v>124</v>
      </c>
      <c r="K2460" t="s">
        <v>1046</v>
      </c>
      <c r="L2460" t="s">
        <v>63</v>
      </c>
      <c r="M2460" s="1">
        <v>36315</v>
      </c>
      <c r="N2460">
        <v>1999</v>
      </c>
    </row>
    <row r="2461" spans="1:14">
      <c r="A2461" t="s">
        <v>14</v>
      </c>
      <c r="B2461" t="str">
        <f>"112910200101"</f>
        <v>112910200101</v>
      </c>
      <c r="C2461" t="s">
        <v>1471</v>
      </c>
      <c r="D2461" t="s">
        <v>221</v>
      </c>
      <c r="G2461" t="s">
        <v>17</v>
      </c>
      <c r="H2461" t="s">
        <v>18</v>
      </c>
      <c r="I2461" t="s">
        <v>123</v>
      </c>
      <c r="J2461" t="s">
        <v>124</v>
      </c>
      <c r="K2461" t="s">
        <v>125</v>
      </c>
      <c r="L2461" t="s">
        <v>22</v>
      </c>
      <c r="M2461" s="1">
        <v>37193</v>
      </c>
      <c r="N2461">
        <v>2001</v>
      </c>
    </row>
    <row r="2462" spans="1:14">
      <c r="A2462" t="s">
        <v>14</v>
      </c>
      <c r="B2462" t="str">
        <f>"110309200104"</f>
        <v>110309200104</v>
      </c>
      <c r="C2462" t="s">
        <v>1517</v>
      </c>
      <c r="D2462" t="s">
        <v>98</v>
      </c>
      <c r="G2462" t="s">
        <v>17</v>
      </c>
      <c r="H2462" t="s">
        <v>18</v>
      </c>
      <c r="I2462" t="s">
        <v>123</v>
      </c>
      <c r="J2462" t="s">
        <v>124</v>
      </c>
      <c r="K2462" t="s">
        <v>1518</v>
      </c>
      <c r="L2462" t="s">
        <v>22</v>
      </c>
      <c r="M2462" s="1">
        <v>37137</v>
      </c>
      <c r="N2462">
        <v>2001</v>
      </c>
    </row>
    <row r="2463" spans="1:14">
      <c r="A2463" t="s">
        <v>14</v>
      </c>
      <c r="B2463" t="str">
        <f>"112709200104"</f>
        <v>112709200104</v>
      </c>
      <c r="C2463" t="s">
        <v>1551</v>
      </c>
      <c r="D2463" t="s">
        <v>127</v>
      </c>
      <c r="G2463" t="s">
        <v>17</v>
      </c>
      <c r="H2463" t="s">
        <v>18</v>
      </c>
      <c r="I2463" t="s">
        <v>123</v>
      </c>
      <c r="J2463" t="s">
        <v>124</v>
      </c>
      <c r="K2463" t="s">
        <v>361</v>
      </c>
      <c r="L2463" t="s">
        <v>22</v>
      </c>
      <c r="M2463" s="1">
        <v>37161</v>
      </c>
      <c r="N2463">
        <v>2001</v>
      </c>
    </row>
    <row r="2464" spans="1:14">
      <c r="A2464" t="s">
        <v>14</v>
      </c>
      <c r="B2464" t="str">
        <f>"110702200100"</f>
        <v>110702200100</v>
      </c>
      <c r="C2464" t="s">
        <v>1693</v>
      </c>
      <c r="D2464" t="s">
        <v>902</v>
      </c>
      <c r="G2464" t="s">
        <v>17</v>
      </c>
      <c r="H2464" t="s">
        <v>18</v>
      </c>
      <c r="I2464" t="s">
        <v>123</v>
      </c>
      <c r="J2464" t="s">
        <v>124</v>
      </c>
      <c r="K2464" t="s">
        <v>827</v>
      </c>
      <c r="L2464" t="s">
        <v>22</v>
      </c>
      <c r="M2464" s="1">
        <v>36929</v>
      </c>
      <c r="N2464">
        <v>2001</v>
      </c>
    </row>
    <row r="2465" spans="1:14">
      <c r="A2465" t="s">
        <v>14</v>
      </c>
      <c r="B2465" t="str">
        <f>"110209200001"</f>
        <v>110209200001</v>
      </c>
      <c r="C2465" t="s">
        <v>2142</v>
      </c>
      <c r="D2465" t="s">
        <v>209</v>
      </c>
      <c r="G2465" t="s">
        <v>17</v>
      </c>
      <c r="H2465" t="s">
        <v>18</v>
      </c>
      <c r="I2465" t="s">
        <v>123</v>
      </c>
      <c r="J2465" t="s">
        <v>124</v>
      </c>
      <c r="K2465" t="s">
        <v>137</v>
      </c>
      <c r="L2465" t="s">
        <v>22</v>
      </c>
      <c r="M2465" s="1">
        <v>36771</v>
      </c>
      <c r="N2465">
        <v>2000</v>
      </c>
    </row>
    <row r="2466" spans="1:14">
      <c r="A2466" t="s">
        <v>14</v>
      </c>
      <c r="B2466" t="str">
        <f>"112404199902"</f>
        <v>112404199902</v>
      </c>
      <c r="C2466" t="s">
        <v>2249</v>
      </c>
      <c r="D2466" t="s">
        <v>294</v>
      </c>
      <c r="G2466" t="s">
        <v>17</v>
      </c>
      <c r="H2466" t="s">
        <v>18</v>
      </c>
      <c r="I2466" t="s">
        <v>123</v>
      </c>
      <c r="J2466" t="s">
        <v>124</v>
      </c>
      <c r="K2466" t="s">
        <v>1260</v>
      </c>
      <c r="L2466" t="s">
        <v>22</v>
      </c>
      <c r="M2466" s="1">
        <v>36274</v>
      </c>
      <c r="N2466">
        <v>1999</v>
      </c>
    </row>
    <row r="2467" spans="1:14">
      <c r="A2467" t="s">
        <v>14</v>
      </c>
      <c r="B2467" t="str">
        <f>"111005200000"</f>
        <v>111005200000</v>
      </c>
      <c r="C2467" t="s">
        <v>2268</v>
      </c>
      <c r="D2467" t="s">
        <v>344</v>
      </c>
      <c r="G2467" t="s">
        <v>17</v>
      </c>
      <c r="H2467" t="s">
        <v>18</v>
      </c>
      <c r="I2467" t="s">
        <v>123</v>
      </c>
      <c r="J2467" t="s">
        <v>124</v>
      </c>
      <c r="K2467" t="s">
        <v>690</v>
      </c>
      <c r="L2467" t="s">
        <v>48</v>
      </c>
      <c r="M2467" s="1">
        <v>36656</v>
      </c>
      <c r="N2467">
        <v>2000</v>
      </c>
    </row>
    <row r="2468" spans="1:14">
      <c r="A2468" t="s">
        <v>14</v>
      </c>
      <c r="B2468" t="str">
        <f>"110304199900"</f>
        <v>110304199900</v>
      </c>
      <c r="C2468" t="s">
        <v>2440</v>
      </c>
      <c r="D2468" t="s">
        <v>89</v>
      </c>
      <c r="G2468" t="s">
        <v>17</v>
      </c>
      <c r="H2468" t="s">
        <v>18</v>
      </c>
      <c r="I2468" t="s">
        <v>123</v>
      </c>
      <c r="J2468" t="s">
        <v>124</v>
      </c>
      <c r="K2468" t="s">
        <v>2441</v>
      </c>
      <c r="L2468" t="s">
        <v>22</v>
      </c>
      <c r="M2468" s="1">
        <v>36253</v>
      </c>
      <c r="N2468">
        <v>1999</v>
      </c>
    </row>
    <row r="2469" spans="1:14">
      <c r="A2469" t="s">
        <v>14</v>
      </c>
      <c r="B2469" t="str">
        <f>"110305199900"</f>
        <v>110305199900</v>
      </c>
      <c r="C2469" t="s">
        <v>2493</v>
      </c>
      <c r="D2469" t="s">
        <v>657</v>
      </c>
      <c r="G2469" t="s">
        <v>17</v>
      </c>
      <c r="H2469" t="s">
        <v>18</v>
      </c>
      <c r="I2469" t="s">
        <v>123</v>
      </c>
      <c r="J2469" t="s">
        <v>124</v>
      </c>
      <c r="K2469" t="s">
        <v>137</v>
      </c>
      <c r="L2469" t="s">
        <v>22</v>
      </c>
      <c r="M2469" s="1">
        <v>36283</v>
      </c>
      <c r="N2469">
        <v>1999</v>
      </c>
    </row>
    <row r="2470" spans="1:14">
      <c r="A2470" t="s">
        <v>14</v>
      </c>
      <c r="B2470" t="str">
        <f>"111205200001"</f>
        <v>111205200001</v>
      </c>
      <c r="C2470" t="s">
        <v>2692</v>
      </c>
      <c r="D2470" t="s">
        <v>98</v>
      </c>
      <c r="G2470" t="s">
        <v>17</v>
      </c>
      <c r="H2470" t="s">
        <v>18</v>
      </c>
      <c r="I2470" t="s">
        <v>123</v>
      </c>
      <c r="J2470" t="s">
        <v>124</v>
      </c>
      <c r="K2470" t="s">
        <v>137</v>
      </c>
      <c r="L2470" t="s">
        <v>22</v>
      </c>
      <c r="M2470" s="1">
        <v>36658</v>
      </c>
      <c r="N2470">
        <v>2000</v>
      </c>
    </row>
    <row r="2471" spans="1:14">
      <c r="A2471" t="s">
        <v>14</v>
      </c>
      <c r="B2471" t="str">
        <f>"110404199900"</f>
        <v>110404199900</v>
      </c>
      <c r="C2471" t="s">
        <v>2840</v>
      </c>
      <c r="D2471" t="s">
        <v>917</v>
      </c>
      <c r="G2471" t="s">
        <v>17</v>
      </c>
      <c r="H2471" t="s">
        <v>18</v>
      </c>
      <c r="I2471" t="s">
        <v>123</v>
      </c>
      <c r="J2471" t="s">
        <v>124</v>
      </c>
      <c r="K2471" t="s">
        <v>2209</v>
      </c>
      <c r="L2471" t="s">
        <v>48</v>
      </c>
      <c r="M2471" s="1">
        <v>36254</v>
      </c>
      <c r="N2471">
        <v>1999</v>
      </c>
    </row>
    <row r="2472" spans="1:14">
      <c r="A2472" t="s">
        <v>14</v>
      </c>
      <c r="B2472" t="str">
        <f>"110503199900"</f>
        <v>110503199900</v>
      </c>
      <c r="C2472" t="s">
        <v>2863</v>
      </c>
      <c r="D2472" t="s">
        <v>89</v>
      </c>
      <c r="G2472" t="s">
        <v>17</v>
      </c>
      <c r="H2472" t="s">
        <v>18</v>
      </c>
      <c r="I2472" t="s">
        <v>123</v>
      </c>
      <c r="J2472" t="s">
        <v>124</v>
      </c>
      <c r="K2472" t="s">
        <v>624</v>
      </c>
      <c r="L2472" t="s">
        <v>22</v>
      </c>
      <c r="M2472" s="1">
        <v>36224</v>
      </c>
      <c r="N2472">
        <v>1999</v>
      </c>
    </row>
    <row r="2473" spans="1:14">
      <c r="A2473" t="s">
        <v>14</v>
      </c>
      <c r="B2473" t="str">
        <f>"112801200400"</f>
        <v>112801200400</v>
      </c>
      <c r="C2473" t="s">
        <v>121</v>
      </c>
      <c r="D2473" t="s">
        <v>122</v>
      </c>
      <c r="G2473" t="s">
        <v>17</v>
      </c>
      <c r="H2473" t="s">
        <v>39</v>
      </c>
      <c r="I2473" t="s">
        <v>123</v>
      </c>
      <c r="J2473" t="s">
        <v>124</v>
      </c>
      <c r="K2473" t="s">
        <v>125</v>
      </c>
      <c r="M2473" s="1">
        <v>38014</v>
      </c>
      <c r="N2473">
        <v>2004</v>
      </c>
    </row>
    <row r="2474" spans="1:14">
      <c r="A2474" t="s">
        <v>14</v>
      </c>
      <c r="B2474" t="str">
        <f>"112005200500"</f>
        <v>112005200500</v>
      </c>
      <c r="C2474" t="s">
        <v>255</v>
      </c>
      <c r="D2474" t="s">
        <v>115</v>
      </c>
      <c r="G2474" t="s">
        <v>17</v>
      </c>
      <c r="H2474" t="s">
        <v>39</v>
      </c>
      <c r="I2474" t="s">
        <v>123</v>
      </c>
      <c r="J2474" t="s">
        <v>124</v>
      </c>
      <c r="K2474" t="s">
        <v>125</v>
      </c>
      <c r="M2474" s="1">
        <v>38492</v>
      </c>
      <c r="N2474">
        <v>2005</v>
      </c>
    </row>
    <row r="2475" spans="1:14">
      <c r="A2475" t="s">
        <v>14</v>
      </c>
      <c r="B2475" t="str">
        <f>"112708200500"</f>
        <v>112708200500</v>
      </c>
      <c r="C2475" t="s">
        <v>362</v>
      </c>
      <c r="D2475" t="s">
        <v>221</v>
      </c>
      <c r="G2475" t="s">
        <v>17</v>
      </c>
      <c r="H2475" t="s">
        <v>39</v>
      </c>
      <c r="I2475" t="s">
        <v>123</v>
      </c>
      <c r="J2475" t="s">
        <v>124</v>
      </c>
      <c r="K2475" t="s">
        <v>125</v>
      </c>
      <c r="M2475" s="1">
        <v>38591</v>
      </c>
      <c r="N2475">
        <v>2005</v>
      </c>
    </row>
    <row r="2476" spans="1:14">
      <c r="A2476" t="s">
        <v>14</v>
      </c>
      <c r="B2476" t="str">
        <f>"113108200401"</f>
        <v>113108200401</v>
      </c>
      <c r="C2476" t="s">
        <v>478</v>
      </c>
      <c r="D2476" t="s">
        <v>259</v>
      </c>
      <c r="G2476" t="s">
        <v>17</v>
      </c>
      <c r="H2476" t="s">
        <v>39</v>
      </c>
      <c r="I2476" t="s">
        <v>123</v>
      </c>
      <c r="J2476" t="s">
        <v>124</v>
      </c>
      <c r="K2476" t="s">
        <v>125</v>
      </c>
      <c r="M2476" s="1">
        <v>38230</v>
      </c>
      <c r="N2476">
        <v>2004</v>
      </c>
    </row>
    <row r="2477" spans="1:14">
      <c r="A2477" t="s">
        <v>14</v>
      </c>
      <c r="B2477" t="str">
        <f>"110306200400"</f>
        <v>110306200400</v>
      </c>
      <c r="C2477" t="s">
        <v>1100</v>
      </c>
      <c r="D2477" t="s">
        <v>100</v>
      </c>
      <c r="G2477" t="s">
        <v>17</v>
      </c>
      <c r="H2477" t="s">
        <v>39</v>
      </c>
      <c r="I2477" t="s">
        <v>123</v>
      </c>
      <c r="J2477" t="s">
        <v>124</v>
      </c>
      <c r="K2477" t="s">
        <v>1101</v>
      </c>
      <c r="M2477" s="1">
        <v>38141</v>
      </c>
      <c r="N2477">
        <v>2004</v>
      </c>
    </row>
    <row r="2478" spans="1:14">
      <c r="A2478" t="s">
        <v>14</v>
      </c>
      <c r="B2478" t="str">
        <f>"112910200401"</f>
        <v>112910200401</v>
      </c>
      <c r="C2478" t="s">
        <v>1194</v>
      </c>
      <c r="D2478" t="s">
        <v>129</v>
      </c>
      <c r="G2478" t="s">
        <v>17</v>
      </c>
      <c r="H2478" t="s">
        <v>39</v>
      </c>
      <c r="I2478" t="s">
        <v>123</v>
      </c>
      <c r="J2478" t="s">
        <v>124</v>
      </c>
      <c r="K2478" t="s">
        <v>125</v>
      </c>
      <c r="M2478" s="1">
        <v>38289</v>
      </c>
      <c r="N2478">
        <v>2004</v>
      </c>
    </row>
    <row r="2479" spans="1:14">
      <c r="A2479" t="s">
        <v>14</v>
      </c>
      <c r="B2479" t="str">
        <f>"110704200400"</f>
        <v>110704200400</v>
      </c>
      <c r="C2479" t="s">
        <v>1202</v>
      </c>
      <c r="D2479" t="s">
        <v>1203</v>
      </c>
      <c r="G2479" t="s">
        <v>17</v>
      </c>
      <c r="H2479" t="s">
        <v>39</v>
      </c>
      <c r="I2479" t="s">
        <v>123</v>
      </c>
      <c r="J2479" t="s">
        <v>124</v>
      </c>
      <c r="K2479" t="s">
        <v>735</v>
      </c>
      <c r="L2479" t="s">
        <v>22</v>
      </c>
      <c r="M2479" s="1">
        <v>38084</v>
      </c>
      <c r="N2479">
        <v>2004</v>
      </c>
    </row>
    <row r="2480" spans="1:14">
      <c r="A2480" t="s">
        <v>14</v>
      </c>
      <c r="B2480" t="str">
        <f>"111907200400"</f>
        <v>111907200400</v>
      </c>
      <c r="C2480" t="s">
        <v>1412</v>
      </c>
      <c r="D2480" t="s">
        <v>16</v>
      </c>
      <c r="G2480" t="s">
        <v>17</v>
      </c>
      <c r="H2480" t="s">
        <v>39</v>
      </c>
      <c r="I2480" t="s">
        <v>123</v>
      </c>
      <c r="J2480" t="s">
        <v>124</v>
      </c>
      <c r="K2480" t="s">
        <v>1133</v>
      </c>
      <c r="L2480" t="s">
        <v>22</v>
      </c>
      <c r="M2480" s="1">
        <v>38187</v>
      </c>
      <c r="N2480">
        <v>2004</v>
      </c>
    </row>
    <row r="2481" spans="1:14">
      <c r="A2481" t="s">
        <v>14</v>
      </c>
      <c r="B2481" t="str">
        <f>"110503200401"</f>
        <v>110503200401</v>
      </c>
      <c r="C2481" t="s">
        <v>1423</v>
      </c>
      <c r="D2481" t="s">
        <v>181</v>
      </c>
      <c r="G2481" t="s">
        <v>17</v>
      </c>
      <c r="H2481" t="s">
        <v>39</v>
      </c>
      <c r="I2481" t="s">
        <v>123</v>
      </c>
      <c r="J2481" t="s">
        <v>124</v>
      </c>
      <c r="K2481" t="s">
        <v>735</v>
      </c>
      <c r="M2481" s="1">
        <v>38051</v>
      </c>
      <c r="N2481">
        <v>2004</v>
      </c>
    </row>
    <row r="2482" spans="1:14">
      <c r="A2482" t="s">
        <v>14</v>
      </c>
      <c r="B2482" t="str">
        <f>"112003200400"</f>
        <v>112003200400</v>
      </c>
      <c r="C2482" t="s">
        <v>1445</v>
      </c>
      <c r="D2482" t="s">
        <v>259</v>
      </c>
      <c r="G2482" t="s">
        <v>17</v>
      </c>
      <c r="H2482" t="s">
        <v>39</v>
      </c>
      <c r="I2482" t="s">
        <v>123</v>
      </c>
      <c r="J2482" t="s">
        <v>124</v>
      </c>
      <c r="K2482" t="s">
        <v>125</v>
      </c>
      <c r="M2482" s="1">
        <v>38066</v>
      </c>
      <c r="N2482">
        <v>2004</v>
      </c>
    </row>
    <row r="2483" spans="1:14">
      <c r="A2483" t="s">
        <v>14</v>
      </c>
      <c r="B2483" t="str">
        <f>"110901200400"</f>
        <v>110901200400</v>
      </c>
      <c r="C2483" t="s">
        <v>1732</v>
      </c>
      <c r="D2483" t="s">
        <v>155</v>
      </c>
      <c r="G2483" t="s">
        <v>17</v>
      </c>
      <c r="H2483" t="s">
        <v>39</v>
      </c>
      <c r="I2483" t="s">
        <v>123</v>
      </c>
      <c r="J2483" t="s">
        <v>124</v>
      </c>
      <c r="K2483" t="s">
        <v>361</v>
      </c>
      <c r="L2483" t="s">
        <v>22</v>
      </c>
      <c r="M2483" s="1">
        <v>37995</v>
      </c>
      <c r="N2483">
        <v>2004</v>
      </c>
    </row>
    <row r="2484" spans="1:14">
      <c r="A2484" t="s">
        <v>14</v>
      </c>
      <c r="B2484" t="str">
        <f>"110106200403"</f>
        <v>110106200403</v>
      </c>
      <c r="C2484" t="s">
        <v>1783</v>
      </c>
      <c r="D2484" t="s">
        <v>1784</v>
      </c>
      <c r="G2484" t="s">
        <v>17</v>
      </c>
      <c r="H2484" t="s">
        <v>39</v>
      </c>
      <c r="I2484" t="s">
        <v>123</v>
      </c>
      <c r="J2484" t="s">
        <v>124</v>
      </c>
      <c r="K2484" t="s">
        <v>125</v>
      </c>
      <c r="M2484" s="1">
        <v>38139</v>
      </c>
      <c r="N2484">
        <v>2004</v>
      </c>
    </row>
    <row r="2485" spans="1:14">
      <c r="A2485" t="s">
        <v>14</v>
      </c>
      <c r="B2485" t="str">
        <f>"110502200400"</f>
        <v>110502200400</v>
      </c>
      <c r="C2485" t="s">
        <v>1832</v>
      </c>
      <c r="D2485" t="s">
        <v>53</v>
      </c>
      <c r="G2485" t="s">
        <v>17</v>
      </c>
      <c r="H2485" t="s">
        <v>39</v>
      </c>
      <c r="I2485" t="s">
        <v>123</v>
      </c>
      <c r="J2485" t="s">
        <v>124</v>
      </c>
      <c r="K2485" t="s">
        <v>125</v>
      </c>
      <c r="M2485" s="1">
        <v>38022</v>
      </c>
      <c r="N2485">
        <v>2004</v>
      </c>
    </row>
    <row r="2486" spans="1:14">
      <c r="A2486" t="s">
        <v>14</v>
      </c>
      <c r="B2486" t="str">
        <f>"110501200401"</f>
        <v>110501200401</v>
      </c>
      <c r="C2486" t="s">
        <v>1896</v>
      </c>
      <c r="D2486" t="s">
        <v>287</v>
      </c>
      <c r="G2486" t="s">
        <v>17</v>
      </c>
      <c r="H2486" t="s">
        <v>39</v>
      </c>
      <c r="I2486" t="s">
        <v>123</v>
      </c>
      <c r="J2486" t="s">
        <v>124</v>
      </c>
      <c r="K2486" t="s">
        <v>125</v>
      </c>
      <c r="M2486" s="1">
        <v>37991</v>
      </c>
      <c r="N2486">
        <v>2004</v>
      </c>
    </row>
    <row r="2487" spans="1:14">
      <c r="A2487" t="s">
        <v>14</v>
      </c>
      <c r="B2487" t="str">
        <f>"110407200500"</f>
        <v>110407200500</v>
      </c>
      <c r="C2487" t="s">
        <v>1962</v>
      </c>
      <c r="D2487" t="s">
        <v>535</v>
      </c>
      <c r="G2487" t="s">
        <v>17</v>
      </c>
      <c r="H2487" t="s">
        <v>39</v>
      </c>
      <c r="I2487" t="s">
        <v>123</v>
      </c>
      <c r="J2487" t="s">
        <v>124</v>
      </c>
      <c r="K2487" t="s">
        <v>125</v>
      </c>
      <c r="M2487" s="1">
        <v>38537</v>
      </c>
      <c r="N2487">
        <v>2005</v>
      </c>
    </row>
    <row r="2488" spans="1:14">
      <c r="A2488" t="s">
        <v>14</v>
      </c>
      <c r="B2488" t="str">
        <f>"111410200401"</f>
        <v>111410200401</v>
      </c>
      <c r="C2488" t="s">
        <v>2085</v>
      </c>
      <c r="D2488" t="s">
        <v>113</v>
      </c>
      <c r="G2488" t="s">
        <v>17</v>
      </c>
      <c r="H2488" t="s">
        <v>39</v>
      </c>
      <c r="I2488" t="s">
        <v>123</v>
      </c>
      <c r="J2488" t="s">
        <v>124</v>
      </c>
      <c r="K2488" t="s">
        <v>361</v>
      </c>
      <c r="L2488" t="s">
        <v>22</v>
      </c>
      <c r="M2488" s="1">
        <v>38274</v>
      </c>
      <c r="N2488">
        <v>2004</v>
      </c>
    </row>
    <row r="2489" spans="1:14">
      <c r="A2489" t="s">
        <v>14</v>
      </c>
      <c r="B2489" t="str">
        <f>"111106200500"</f>
        <v>111106200500</v>
      </c>
      <c r="C2489" t="s">
        <v>2436</v>
      </c>
      <c r="D2489" t="s">
        <v>181</v>
      </c>
      <c r="G2489" t="s">
        <v>17</v>
      </c>
      <c r="H2489" t="s">
        <v>39</v>
      </c>
      <c r="I2489" t="s">
        <v>123</v>
      </c>
      <c r="J2489" t="s">
        <v>124</v>
      </c>
      <c r="K2489" t="s">
        <v>125</v>
      </c>
      <c r="M2489" s="1">
        <v>38514</v>
      </c>
      <c r="N2489">
        <v>2005</v>
      </c>
    </row>
    <row r="2490" spans="1:14">
      <c r="A2490" t="s">
        <v>14</v>
      </c>
      <c r="B2490" t="str">
        <f>"112809200400"</f>
        <v>112809200400</v>
      </c>
      <c r="C2490" t="s">
        <v>2475</v>
      </c>
      <c r="D2490" t="s">
        <v>24</v>
      </c>
      <c r="G2490" t="s">
        <v>17</v>
      </c>
      <c r="H2490" t="s">
        <v>39</v>
      </c>
      <c r="I2490" t="s">
        <v>123</v>
      </c>
      <c r="J2490" t="s">
        <v>124</v>
      </c>
      <c r="K2490" t="s">
        <v>125</v>
      </c>
      <c r="M2490" s="1">
        <v>38258</v>
      </c>
      <c r="N2490">
        <v>2004</v>
      </c>
    </row>
    <row r="2491" spans="1:14">
      <c r="A2491" t="s">
        <v>14</v>
      </c>
      <c r="B2491" t="str">
        <f>"111003200401"</f>
        <v>111003200401</v>
      </c>
      <c r="C2491" t="s">
        <v>2629</v>
      </c>
      <c r="D2491" t="s">
        <v>277</v>
      </c>
      <c r="G2491" t="s">
        <v>17</v>
      </c>
      <c r="H2491" t="s">
        <v>39</v>
      </c>
      <c r="I2491" t="s">
        <v>123</v>
      </c>
      <c r="J2491" t="s">
        <v>124</v>
      </c>
      <c r="K2491" t="s">
        <v>125</v>
      </c>
      <c r="M2491" s="1">
        <v>38056</v>
      </c>
      <c r="N2491">
        <v>2004</v>
      </c>
    </row>
    <row r="2492" spans="1:14">
      <c r="A2492" t="s">
        <v>14</v>
      </c>
      <c r="B2492" t="str">
        <f>"112508200400"</f>
        <v>112508200400</v>
      </c>
      <c r="C2492" t="s">
        <v>2754</v>
      </c>
      <c r="D2492" t="s">
        <v>256</v>
      </c>
      <c r="G2492" t="s">
        <v>17</v>
      </c>
      <c r="H2492" t="s">
        <v>39</v>
      </c>
      <c r="I2492" t="s">
        <v>123</v>
      </c>
      <c r="J2492" t="s">
        <v>124</v>
      </c>
      <c r="K2492" t="s">
        <v>125</v>
      </c>
      <c r="M2492" s="1">
        <v>38224</v>
      </c>
      <c r="N2492">
        <v>2004</v>
      </c>
    </row>
    <row r="2493" spans="1:14">
      <c r="A2493" t="s">
        <v>14</v>
      </c>
      <c r="B2493" t="str">
        <f>"110802200400"</f>
        <v>110802200400</v>
      </c>
      <c r="C2493" t="s">
        <v>2760</v>
      </c>
      <c r="D2493" t="s">
        <v>129</v>
      </c>
      <c r="G2493" t="s">
        <v>17</v>
      </c>
      <c r="H2493" t="s">
        <v>39</v>
      </c>
      <c r="I2493" t="s">
        <v>123</v>
      </c>
      <c r="J2493" t="s">
        <v>124</v>
      </c>
      <c r="K2493" t="s">
        <v>125</v>
      </c>
      <c r="M2493" s="1">
        <v>38025</v>
      </c>
      <c r="N2493">
        <v>2004</v>
      </c>
    </row>
    <row r="2494" spans="1:14">
      <c r="A2494" t="s">
        <v>14</v>
      </c>
      <c r="B2494" t="str">
        <f>"111102200402"</f>
        <v>111102200402</v>
      </c>
      <c r="C2494" t="s">
        <v>2795</v>
      </c>
      <c r="D2494" t="s">
        <v>531</v>
      </c>
      <c r="G2494" t="s">
        <v>17</v>
      </c>
      <c r="H2494" t="s">
        <v>39</v>
      </c>
      <c r="I2494" t="s">
        <v>123</v>
      </c>
      <c r="J2494" t="s">
        <v>124</v>
      </c>
      <c r="K2494" t="s">
        <v>125</v>
      </c>
      <c r="M2494" s="1">
        <v>38028</v>
      </c>
      <c r="N2494">
        <v>2004</v>
      </c>
    </row>
    <row r="2495" spans="1:14">
      <c r="A2495" t="s">
        <v>14</v>
      </c>
      <c r="B2495" t="str">
        <f>"112503200202"</f>
        <v>112503200202</v>
      </c>
      <c r="C2495" t="s">
        <v>135</v>
      </c>
      <c r="D2495" t="s">
        <v>136</v>
      </c>
      <c r="G2495" t="s">
        <v>17</v>
      </c>
      <c r="H2495" t="s">
        <v>51</v>
      </c>
      <c r="I2495" t="s">
        <v>123</v>
      </c>
      <c r="J2495" t="s">
        <v>124</v>
      </c>
      <c r="K2495" t="s">
        <v>137</v>
      </c>
      <c r="L2495" t="s">
        <v>22</v>
      </c>
      <c r="M2495" s="1">
        <v>37340</v>
      </c>
      <c r="N2495">
        <v>2002</v>
      </c>
    </row>
    <row r="2496" spans="1:14">
      <c r="A2496" t="s">
        <v>14</v>
      </c>
      <c r="B2496" t="str">
        <f>"113010200300"</f>
        <v>113010200300</v>
      </c>
      <c r="C2496" t="s">
        <v>214</v>
      </c>
      <c r="D2496" t="s">
        <v>129</v>
      </c>
      <c r="G2496" t="s">
        <v>17</v>
      </c>
      <c r="H2496" t="s">
        <v>51</v>
      </c>
      <c r="I2496" t="s">
        <v>123</v>
      </c>
      <c r="J2496" t="s">
        <v>124</v>
      </c>
      <c r="K2496" t="s">
        <v>137</v>
      </c>
      <c r="L2496" t="s">
        <v>22</v>
      </c>
      <c r="M2496" s="1">
        <v>37924</v>
      </c>
      <c r="N2496">
        <v>2003</v>
      </c>
    </row>
    <row r="2497" spans="1:14">
      <c r="A2497" t="s">
        <v>14</v>
      </c>
      <c r="B2497" t="str">
        <f>"110904200300"</f>
        <v>110904200300</v>
      </c>
      <c r="C2497" t="s">
        <v>377</v>
      </c>
      <c r="D2497" t="s">
        <v>378</v>
      </c>
      <c r="G2497" t="s">
        <v>17</v>
      </c>
      <c r="H2497" t="s">
        <v>51</v>
      </c>
      <c r="I2497" t="s">
        <v>123</v>
      </c>
      <c r="J2497" t="s">
        <v>124</v>
      </c>
      <c r="K2497" t="s">
        <v>361</v>
      </c>
      <c r="M2497" s="1">
        <v>37720</v>
      </c>
      <c r="N2497">
        <v>2003</v>
      </c>
    </row>
    <row r="2498" spans="1:14">
      <c r="A2498" t="s">
        <v>14</v>
      </c>
      <c r="B2498" t="str">
        <f>"112708200303"</f>
        <v>112708200303</v>
      </c>
      <c r="C2498" t="s">
        <v>612</v>
      </c>
      <c r="D2498" t="s">
        <v>292</v>
      </c>
      <c r="G2498" t="s">
        <v>17</v>
      </c>
      <c r="H2498" t="s">
        <v>51</v>
      </c>
      <c r="I2498" t="s">
        <v>123</v>
      </c>
      <c r="J2498" t="s">
        <v>124</v>
      </c>
      <c r="K2498" t="s">
        <v>615</v>
      </c>
      <c r="M2498" s="1">
        <v>37860</v>
      </c>
      <c r="N2498">
        <v>2003</v>
      </c>
    </row>
    <row r="2499" spans="1:14">
      <c r="A2499" t="s">
        <v>14</v>
      </c>
      <c r="B2499" t="str">
        <f>"110403200200"</f>
        <v>110403200200</v>
      </c>
      <c r="C2499" t="s">
        <v>630</v>
      </c>
      <c r="D2499" t="s">
        <v>631</v>
      </c>
      <c r="G2499" t="s">
        <v>17</v>
      </c>
      <c r="H2499" t="s">
        <v>51</v>
      </c>
      <c r="I2499" t="s">
        <v>123</v>
      </c>
      <c r="J2499" t="s">
        <v>124</v>
      </c>
      <c r="K2499" t="s">
        <v>632</v>
      </c>
      <c r="L2499" t="s">
        <v>63</v>
      </c>
      <c r="M2499" s="1">
        <v>37319</v>
      </c>
      <c r="N2499">
        <v>2002</v>
      </c>
    </row>
    <row r="2500" spans="1:14">
      <c r="A2500" t="s">
        <v>14</v>
      </c>
      <c r="B2500" t="str">
        <f>"110501200200"</f>
        <v>110501200200</v>
      </c>
      <c r="C2500" t="s">
        <v>688</v>
      </c>
      <c r="D2500" t="s">
        <v>155</v>
      </c>
      <c r="G2500" t="s">
        <v>17</v>
      </c>
      <c r="H2500" t="s">
        <v>51</v>
      </c>
      <c r="I2500" t="s">
        <v>123</v>
      </c>
      <c r="J2500" t="s">
        <v>124</v>
      </c>
      <c r="K2500" t="s">
        <v>137</v>
      </c>
      <c r="L2500" t="s">
        <v>22</v>
      </c>
      <c r="M2500" s="1">
        <v>37261</v>
      </c>
      <c r="N2500">
        <v>2002</v>
      </c>
    </row>
    <row r="2501" spans="1:14">
      <c r="A2501" t="s">
        <v>14</v>
      </c>
      <c r="B2501" t="str">
        <f>"113107200200"</f>
        <v>113107200200</v>
      </c>
      <c r="C2501" t="s">
        <v>692</v>
      </c>
      <c r="D2501" t="s">
        <v>693</v>
      </c>
      <c r="G2501" t="s">
        <v>17</v>
      </c>
      <c r="H2501" t="s">
        <v>51</v>
      </c>
      <c r="I2501" t="s">
        <v>123</v>
      </c>
      <c r="J2501" t="s">
        <v>124</v>
      </c>
      <c r="K2501" t="s">
        <v>137</v>
      </c>
      <c r="L2501" t="s">
        <v>22</v>
      </c>
      <c r="M2501" s="1">
        <v>37468</v>
      </c>
      <c r="N2501">
        <v>2002</v>
      </c>
    </row>
    <row r="2502" spans="1:14">
      <c r="A2502" t="s">
        <v>14</v>
      </c>
      <c r="B2502" t="str">
        <f>"112807200202"</f>
        <v>112807200202</v>
      </c>
      <c r="C2502" t="s">
        <v>757</v>
      </c>
      <c r="D2502" t="s">
        <v>155</v>
      </c>
      <c r="G2502" t="s">
        <v>17</v>
      </c>
      <c r="H2502" t="s">
        <v>51</v>
      </c>
      <c r="I2502" t="s">
        <v>123</v>
      </c>
      <c r="J2502" t="s">
        <v>124</v>
      </c>
      <c r="K2502" t="s">
        <v>361</v>
      </c>
      <c r="L2502" t="s">
        <v>22</v>
      </c>
      <c r="M2502" s="1">
        <v>37465</v>
      </c>
      <c r="N2502">
        <v>2002</v>
      </c>
    </row>
    <row r="2503" spans="1:14">
      <c r="A2503" t="s">
        <v>14</v>
      </c>
      <c r="B2503" t="str">
        <f>"112411200300"</f>
        <v>112411200300</v>
      </c>
      <c r="C2503" t="s">
        <v>762</v>
      </c>
      <c r="D2503" t="s">
        <v>268</v>
      </c>
      <c r="G2503" t="s">
        <v>17</v>
      </c>
      <c r="H2503" t="s">
        <v>51</v>
      </c>
      <c r="I2503" t="s">
        <v>123</v>
      </c>
      <c r="J2503" t="s">
        <v>124</v>
      </c>
      <c r="K2503" t="s">
        <v>361</v>
      </c>
      <c r="L2503" t="s">
        <v>22</v>
      </c>
      <c r="M2503" s="1">
        <v>37949</v>
      </c>
      <c r="N2503">
        <v>2003</v>
      </c>
    </row>
    <row r="2504" spans="1:14">
      <c r="A2504" t="s">
        <v>14</v>
      </c>
      <c r="B2504" t="str">
        <f>"111610200200"</f>
        <v>111610200200</v>
      </c>
      <c r="C2504" t="s">
        <v>796</v>
      </c>
      <c r="D2504" t="s">
        <v>797</v>
      </c>
      <c r="G2504" t="s">
        <v>17</v>
      </c>
      <c r="H2504" t="s">
        <v>51</v>
      </c>
      <c r="I2504" t="s">
        <v>123</v>
      </c>
      <c r="J2504" t="s">
        <v>124</v>
      </c>
      <c r="K2504" t="s">
        <v>137</v>
      </c>
      <c r="L2504" t="s">
        <v>22</v>
      </c>
      <c r="M2504" s="1">
        <v>37545</v>
      </c>
      <c r="N2504">
        <v>2002</v>
      </c>
    </row>
    <row r="2505" spans="1:14">
      <c r="A2505" t="s">
        <v>14</v>
      </c>
      <c r="B2505" t="str">
        <f>"111601200200"</f>
        <v>111601200200</v>
      </c>
      <c r="C2505" t="s">
        <v>826</v>
      </c>
      <c r="D2505" t="s">
        <v>53</v>
      </c>
      <c r="G2505" t="s">
        <v>17</v>
      </c>
      <c r="H2505" t="s">
        <v>51</v>
      </c>
      <c r="I2505" t="s">
        <v>123</v>
      </c>
      <c r="J2505" t="s">
        <v>124</v>
      </c>
      <c r="K2505" t="s">
        <v>827</v>
      </c>
      <c r="M2505" s="1">
        <v>37272</v>
      </c>
      <c r="N2505">
        <v>2002</v>
      </c>
    </row>
    <row r="2506" spans="1:14">
      <c r="A2506" t="s">
        <v>14</v>
      </c>
      <c r="B2506" t="str">
        <f>"111911200300"</f>
        <v>111911200300</v>
      </c>
      <c r="C2506" t="s">
        <v>928</v>
      </c>
      <c r="D2506" t="s">
        <v>209</v>
      </c>
      <c r="G2506" t="s">
        <v>17</v>
      </c>
      <c r="H2506" t="s">
        <v>51</v>
      </c>
      <c r="I2506" t="s">
        <v>123</v>
      </c>
      <c r="J2506" t="s">
        <v>124</v>
      </c>
      <c r="K2506" t="s">
        <v>125</v>
      </c>
      <c r="M2506" s="1">
        <v>37944</v>
      </c>
      <c r="N2506">
        <v>2003</v>
      </c>
    </row>
    <row r="2507" spans="1:14">
      <c r="A2507" t="s">
        <v>14</v>
      </c>
      <c r="B2507" t="str">
        <f>"110606200300"</f>
        <v>110606200300</v>
      </c>
      <c r="C2507" t="s">
        <v>928</v>
      </c>
      <c r="D2507" t="s">
        <v>95</v>
      </c>
      <c r="G2507" t="s">
        <v>17</v>
      </c>
      <c r="H2507" t="s">
        <v>51</v>
      </c>
      <c r="I2507" t="s">
        <v>123</v>
      </c>
      <c r="J2507" t="s">
        <v>124</v>
      </c>
      <c r="K2507" t="s">
        <v>137</v>
      </c>
      <c r="L2507" t="s">
        <v>63</v>
      </c>
      <c r="M2507" s="1">
        <v>37778</v>
      </c>
      <c r="N2507">
        <v>2003</v>
      </c>
    </row>
    <row r="2508" spans="1:14">
      <c r="A2508" t="s">
        <v>14</v>
      </c>
      <c r="B2508" t="str">
        <f>"112210200300"</f>
        <v>112210200300</v>
      </c>
      <c r="C2508" t="s">
        <v>1021</v>
      </c>
      <c r="D2508" t="s">
        <v>209</v>
      </c>
      <c r="G2508" t="s">
        <v>17</v>
      </c>
      <c r="H2508" t="s">
        <v>51</v>
      </c>
      <c r="I2508" t="s">
        <v>123</v>
      </c>
      <c r="J2508" t="s">
        <v>124</v>
      </c>
      <c r="K2508" t="s">
        <v>1022</v>
      </c>
      <c r="M2508" s="1">
        <v>37916</v>
      </c>
      <c r="N2508">
        <v>2003</v>
      </c>
    </row>
    <row r="2509" spans="1:14">
      <c r="A2509" t="s">
        <v>14</v>
      </c>
      <c r="B2509" t="str">
        <f>"110705200201"</f>
        <v>110705200201</v>
      </c>
      <c r="C2509" t="s">
        <v>1195</v>
      </c>
      <c r="D2509" t="s">
        <v>256</v>
      </c>
      <c r="G2509" t="s">
        <v>17</v>
      </c>
      <c r="H2509" t="s">
        <v>51</v>
      </c>
      <c r="I2509" t="s">
        <v>123</v>
      </c>
      <c r="J2509" t="s">
        <v>124</v>
      </c>
      <c r="K2509" t="s">
        <v>361</v>
      </c>
      <c r="L2509" t="s">
        <v>63</v>
      </c>
      <c r="M2509" s="1">
        <v>37383</v>
      </c>
      <c r="N2509">
        <v>2002</v>
      </c>
    </row>
    <row r="2510" spans="1:14">
      <c r="A2510" t="s">
        <v>14</v>
      </c>
      <c r="B2510" t="str">
        <f>"111207200300"</f>
        <v>111207200300</v>
      </c>
      <c r="C2510" t="s">
        <v>1259</v>
      </c>
      <c r="D2510" t="s">
        <v>277</v>
      </c>
      <c r="G2510" t="s">
        <v>17</v>
      </c>
      <c r="H2510" t="s">
        <v>51</v>
      </c>
      <c r="I2510" t="s">
        <v>123</v>
      </c>
      <c r="J2510" t="s">
        <v>124</v>
      </c>
      <c r="K2510" t="s">
        <v>1260</v>
      </c>
      <c r="L2510" t="s">
        <v>22</v>
      </c>
      <c r="M2510" s="1">
        <v>37814</v>
      </c>
      <c r="N2510">
        <v>2003</v>
      </c>
    </row>
    <row r="2511" spans="1:14">
      <c r="A2511" t="s">
        <v>14</v>
      </c>
      <c r="B2511" t="str">
        <f>"112806200303"</f>
        <v>112806200303</v>
      </c>
      <c r="C2511" t="s">
        <v>1471</v>
      </c>
      <c r="D2511" t="s">
        <v>529</v>
      </c>
      <c r="G2511" t="s">
        <v>17</v>
      </c>
      <c r="H2511" t="s">
        <v>51</v>
      </c>
      <c r="I2511" t="s">
        <v>123</v>
      </c>
      <c r="J2511" t="s">
        <v>124</v>
      </c>
      <c r="K2511" t="s">
        <v>125</v>
      </c>
      <c r="L2511" t="s">
        <v>22</v>
      </c>
      <c r="M2511" s="1">
        <v>37800</v>
      </c>
      <c r="N2511">
        <v>2003</v>
      </c>
    </row>
    <row r="2512" spans="1:14">
      <c r="A2512" t="s">
        <v>14</v>
      </c>
      <c r="B2512" t="str">
        <f>"110703200300"</f>
        <v>110703200300</v>
      </c>
      <c r="C2512" t="s">
        <v>1473</v>
      </c>
      <c r="D2512" t="s">
        <v>1103</v>
      </c>
      <c r="G2512" t="s">
        <v>17</v>
      </c>
      <c r="H2512" t="s">
        <v>51</v>
      </c>
      <c r="I2512" t="s">
        <v>123</v>
      </c>
      <c r="J2512" t="s">
        <v>124</v>
      </c>
      <c r="K2512" t="s">
        <v>125</v>
      </c>
      <c r="L2512" t="s">
        <v>22</v>
      </c>
      <c r="M2512" s="1">
        <v>37687</v>
      </c>
      <c r="N2512">
        <v>2003</v>
      </c>
    </row>
    <row r="2513" spans="1:14">
      <c r="A2513" t="s">
        <v>14</v>
      </c>
      <c r="B2513" t="str">
        <f>"110407200200"</f>
        <v>110407200200</v>
      </c>
      <c r="C2513" t="s">
        <v>1554</v>
      </c>
      <c r="D2513" t="s">
        <v>373</v>
      </c>
      <c r="G2513" t="s">
        <v>17</v>
      </c>
      <c r="H2513" t="s">
        <v>51</v>
      </c>
      <c r="I2513" t="s">
        <v>123</v>
      </c>
      <c r="J2513" t="s">
        <v>124</v>
      </c>
      <c r="K2513" t="s">
        <v>1133</v>
      </c>
      <c r="L2513" t="s">
        <v>22</v>
      </c>
      <c r="M2513" s="1">
        <v>37441</v>
      </c>
      <c r="N2513">
        <v>2002</v>
      </c>
    </row>
    <row r="2514" spans="1:14">
      <c r="A2514" t="s">
        <v>14</v>
      </c>
      <c r="B2514" t="str">
        <f>"110507200201"</f>
        <v>110507200201</v>
      </c>
      <c r="C2514" t="s">
        <v>1642</v>
      </c>
      <c r="D2514" t="s">
        <v>1103</v>
      </c>
      <c r="G2514" t="s">
        <v>17</v>
      </c>
      <c r="H2514" t="s">
        <v>51</v>
      </c>
      <c r="I2514" t="s">
        <v>123</v>
      </c>
      <c r="J2514" t="s">
        <v>124</v>
      </c>
      <c r="K2514" t="s">
        <v>137</v>
      </c>
      <c r="L2514" t="s">
        <v>22</v>
      </c>
      <c r="M2514" s="1">
        <v>37442</v>
      </c>
      <c r="N2514">
        <v>2002</v>
      </c>
    </row>
    <row r="2515" spans="1:14">
      <c r="A2515" t="s">
        <v>14</v>
      </c>
      <c r="B2515" t="str">
        <f>"113105200200"</f>
        <v>113105200200</v>
      </c>
      <c r="C2515" t="s">
        <v>1847</v>
      </c>
      <c r="D2515" t="s">
        <v>431</v>
      </c>
      <c r="G2515" t="s">
        <v>17</v>
      </c>
      <c r="H2515" t="s">
        <v>51</v>
      </c>
      <c r="I2515" t="s">
        <v>123</v>
      </c>
      <c r="J2515" t="s">
        <v>124</v>
      </c>
      <c r="K2515" t="s">
        <v>137</v>
      </c>
      <c r="L2515" t="s">
        <v>22</v>
      </c>
      <c r="M2515" s="1">
        <v>37407</v>
      </c>
      <c r="N2515">
        <v>2002</v>
      </c>
    </row>
    <row r="2516" spans="1:14">
      <c r="A2516" t="s">
        <v>14</v>
      </c>
      <c r="B2516" t="str">
        <f>"110501200300"</f>
        <v>110501200300</v>
      </c>
      <c r="C2516" t="s">
        <v>1876</v>
      </c>
      <c r="D2516" t="s">
        <v>70</v>
      </c>
      <c r="G2516" t="s">
        <v>17</v>
      </c>
      <c r="H2516" t="s">
        <v>51</v>
      </c>
      <c r="I2516" t="s">
        <v>123</v>
      </c>
      <c r="J2516" t="s">
        <v>124</v>
      </c>
      <c r="K2516" t="s">
        <v>1133</v>
      </c>
      <c r="L2516" t="s">
        <v>63</v>
      </c>
      <c r="M2516" s="1">
        <v>37626</v>
      </c>
      <c r="N2516">
        <v>2003</v>
      </c>
    </row>
    <row r="2517" spans="1:14">
      <c r="A2517" t="s">
        <v>14</v>
      </c>
      <c r="B2517" t="str">
        <f>"111104200300"</f>
        <v>111104200300</v>
      </c>
      <c r="C2517" t="s">
        <v>1929</v>
      </c>
      <c r="D2517" t="s">
        <v>373</v>
      </c>
      <c r="G2517" t="s">
        <v>17</v>
      </c>
      <c r="H2517" t="s">
        <v>51</v>
      </c>
      <c r="I2517" t="s">
        <v>123</v>
      </c>
      <c r="J2517" t="s">
        <v>124</v>
      </c>
      <c r="K2517" t="s">
        <v>125</v>
      </c>
      <c r="L2517" t="s">
        <v>63</v>
      </c>
      <c r="M2517" s="1">
        <v>37722</v>
      </c>
      <c r="N2517">
        <v>2003</v>
      </c>
    </row>
    <row r="2518" spans="1:14">
      <c r="A2518" t="s">
        <v>14</v>
      </c>
      <c r="B2518" t="str">
        <f>"112308200300"</f>
        <v>112308200300</v>
      </c>
      <c r="C2518" t="s">
        <v>2229</v>
      </c>
      <c r="D2518" t="s">
        <v>277</v>
      </c>
      <c r="G2518" t="s">
        <v>17</v>
      </c>
      <c r="H2518" t="s">
        <v>51</v>
      </c>
      <c r="I2518" t="s">
        <v>123</v>
      </c>
      <c r="J2518" t="s">
        <v>124</v>
      </c>
      <c r="K2518" t="s">
        <v>361</v>
      </c>
      <c r="L2518" t="s">
        <v>22</v>
      </c>
      <c r="M2518" s="1">
        <v>37856</v>
      </c>
      <c r="N2518">
        <v>2003</v>
      </c>
    </row>
    <row r="2519" spans="1:14">
      <c r="A2519" t="s">
        <v>14</v>
      </c>
      <c r="B2519" t="str">
        <f>"112104200201"</f>
        <v>112104200201</v>
      </c>
      <c r="C2519" t="s">
        <v>2267</v>
      </c>
      <c r="D2519" t="s">
        <v>209</v>
      </c>
      <c r="G2519" t="s">
        <v>17</v>
      </c>
      <c r="H2519" t="s">
        <v>51</v>
      </c>
      <c r="I2519" t="s">
        <v>123</v>
      </c>
      <c r="J2519" t="s">
        <v>124</v>
      </c>
      <c r="K2519" t="s">
        <v>137</v>
      </c>
      <c r="L2519" t="s">
        <v>22</v>
      </c>
      <c r="M2519" s="1">
        <v>37367</v>
      </c>
      <c r="N2519">
        <v>2002</v>
      </c>
    </row>
    <row r="2520" spans="1:14">
      <c r="A2520" t="s">
        <v>14</v>
      </c>
      <c r="B2520" t="str">
        <f>"111908200301"</f>
        <v>111908200301</v>
      </c>
      <c r="C2520" t="s">
        <v>2312</v>
      </c>
      <c r="D2520" t="s">
        <v>24</v>
      </c>
      <c r="G2520" t="s">
        <v>17</v>
      </c>
      <c r="H2520" t="s">
        <v>51</v>
      </c>
      <c r="I2520" t="s">
        <v>123</v>
      </c>
      <c r="J2520" t="s">
        <v>124</v>
      </c>
      <c r="K2520" t="s">
        <v>125</v>
      </c>
      <c r="M2520" s="1">
        <v>37852</v>
      </c>
      <c r="N2520">
        <v>2003</v>
      </c>
    </row>
    <row r="2521" spans="1:14">
      <c r="A2521" t="s">
        <v>14</v>
      </c>
      <c r="B2521" t="str">
        <f>"112201200201"</f>
        <v>112201200201</v>
      </c>
      <c r="C2521" t="s">
        <v>2380</v>
      </c>
      <c r="D2521" t="s">
        <v>373</v>
      </c>
      <c r="G2521" t="s">
        <v>17</v>
      </c>
      <c r="H2521" t="s">
        <v>51</v>
      </c>
      <c r="I2521" t="s">
        <v>123</v>
      </c>
      <c r="J2521" t="s">
        <v>124</v>
      </c>
      <c r="K2521" t="s">
        <v>1046</v>
      </c>
      <c r="L2521" t="s">
        <v>63</v>
      </c>
      <c r="M2521" s="1">
        <v>37278</v>
      </c>
      <c r="N2521">
        <v>2002</v>
      </c>
    </row>
    <row r="2522" spans="1:14">
      <c r="A2522" t="s">
        <v>14</v>
      </c>
      <c r="B2522" t="str">
        <f>"110809200300"</f>
        <v>110809200300</v>
      </c>
      <c r="C2522" t="s">
        <v>2384</v>
      </c>
      <c r="D2522" t="s">
        <v>53</v>
      </c>
      <c r="G2522" t="s">
        <v>17</v>
      </c>
      <c r="H2522" t="s">
        <v>51</v>
      </c>
      <c r="I2522" t="s">
        <v>123</v>
      </c>
      <c r="J2522" t="s">
        <v>124</v>
      </c>
      <c r="K2522" t="s">
        <v>125</v>
      </c>
      <c r="M2522" s="1">
        <v>37872</v>
      </c>
      <c r="N2522">
        <v>2003</v>
      </c>
    </row>
    <row r="2523" spans="1:14">
      <c r="A2523" t="s">
        <v>14</v>
      </c>
      <c r="B2523" t="str">
        <f>"110706200200"</f>
        <v>110706200200</v>
      </c>
      <c r="C2523" t="s">
        <v>2457</v>
      </c>
      <c r="D2523" t="s">
        <v>115</v>
      </c>
      <c r="G2523" t="s">
        <v>17</v>
      </c>
      <c r="H2523" t="s">
        <v>51</v>
      </c>
      <c r="I2523" t="s">
        <v>123</v>
      </c>
      <c r="J2523" t="s">
        <v>124</v>
      </c>
      <c r="K2523" t="s">
        <v>125</v>
      </c>
      <c r="M2523" s="1">
        <v>37414</v>
      </c>
      <c r="N2523">
        <v>2002</v>
      </c>
    </row>
    <row r="2524" spans="1:14">
      <c r="A2524" t="s">
        <v>14</v>
      </c>
      <c r="B2524" t="str">
        <f>"110208200200"</f>
        <v>110208200200</v>
      </c>
      <c r="C2524" t="s">
        <v>2603</v>
      </c>
      <c r="D2524" t="s">
        <v>95</v>
      </c>
      <c r="G2524" t="s">
        <v>17</v>
      </c>
      <c r="H2524" t="s">
        <v>51</v>
      </c>
      <c r="I2524" t="s">
        <v>123</v>
      </c>
      <c r="J2524" t="s">
        <v>124</v>
      </c>
      <c r="K2524" t="s">
        <v>125</v>
      </c>
      <c r="M2524" s="1">
        <v>37470</v>
      </c>
      <c r="N2524">
        <v>2002</v>
      </c>
    </row>
    <row r="2525" spans="1:14">
      <c r="A2525" t="s">
        <v>14</v>
      </c>
      <c r="B2525" t="str">
        <f>"110206200302"</f>
        <v>110206200302</v>
      </c>
      <c r="C2525" t="s">
        <v>2734</v>
      </c>
      <c r="D2525" t="s">
        <v>127</v>
      </c>
      <c r="G2525" t="s">
        <v>17</v>
      </c>
      <c r="H2525" t="s">
        <v>51</v>
      </c>
      <c r="I2525" t="s">
        <v>123</v>
      </c>
      <c r="J2525" t="s">
        <v>124</v>
      </c>
      <c r="K2525" t="s">
        <v>735</v>
      </c>
      <c r="M2525" s="1">
        <v>37774</v>
      </c>
      <c r="N2525">
        <v>2003</v>
      </c>
    </row>
    <row r="2526" spans="1:14">
      <c r="A2526" t="s">
        <v>14</v>
      </c>
      <c r="B2526" t="str">
        <f>"112911200201"</f>
        <v>112911200201</v>
      </c>
      <c r="C2526" t="s">
        <v>2832</v>
      </c>
      <c r="D2526" t="s">
        <v>277</v>
      </c>
      <c r="G2526" t="s">
        <v>17</v>
      </c>
      <c r="H2526" t="s">
        <v>51</v>
      </c>
      <c r="I2526" t="s">
        <v>123</v>
      </c>
      <c r="J2526" t="s">
        <v>124</v>
      </c>
      <c r="K2526" t="s">
        <v>735</v>
      </c>
      <c r="L2526" t="s">
        <v>22</v>
      </c>
      <c r="M2526" s="1">
        <v>37589</v>
      </c>
      <c r="N2526">
        <v>2002</v>
      </c>
    </row>
    <row r="2527" spans="1:14">
      <c r="A2527" t="s">
        <v>14</v>
      </c>
      <c r="B2527" t="str">
        <f>"111405200300"</f>
        <v>111405200300</v>
      </c>
      <c r="C2527" t="s">
        <v>2869</v>
      </c>
      <c r="D2527" t="s">
        <v>89</v>
      </c>
      <c r="G2527" t="s">
        <v>17</v>
      </c>
      <c r="H2527" t="s">
        <v>51</v>
      </c>
      <c r="I2527" t="s">
        <v>123</v>
      </c>
      <c r="J2527" t="s">
        <v>124</v>
      </c>
      <c r="K2527" t="s">
        <v>1133</v>
      </c>
      <c r="L2527" t="s">
        <v>22</v>
      </c>
      <c r="M2527" s="1">
        <v>37755</v>
      </c>
      <c r="N2527">
        <v>2003</v>
      </c>
    </row>
    <row r="2528" spans="1:14">
      <c r="A2528" t="s">
        <v>14</v>
      </c>
      <c r="B2528" t="str">
        <f>"110305200300"</f>
        <v>110305200300</v>
      </c>
      <c r="C2528" t="s">
        <v>2910</v>
      </c>
      <c r="D2528" t="s">
        <v>403</v>
      </c>
      <c r="G2528" t="s">
        <v>17</v>
      </c>
      <c r="H2528" t="s">
        <v>51</v>
      </c>
      <c r="I2528" t="s">
        <v>123</v>
      </c>
      <c r="J2528" t="s">
        <v>124</v>
      </c>
      <c r="K2528" t="s">
        <v>1133</v>
      </c>
      <c r="L2528" t="s">
        <v>22</v>
      </c>
      <c r="M2528" s="1">
        <v>37744</v>
      </c>
      <c r="N2528">
        <v>2003</v>
      </c>
    </row>
    <row r="2529" spans="1:14">
      <c r="A2529" t="s">
        <v>14</v>
      </c>
      <c r="B2529" t="str">
        <f>"111004200300"</f>
        <v>111004200300</v>
      </c>
      <c r="C2529" t="s">
        <v>2942</v>
      </c>
      <c r="D2529" t="s">
        <v>344</v>
      </c>
      <c r="G2529" t="s">
        <v>17</v>
      </c>
      <c r="H2529" t="s">
        <v>51</v>
      </c>
      <c r="I2529" t="s">
        <v>123</v>
      </c>
      <c r="J2529" t="s">
        <v>124</v>
      </c>
      <c r="K2529" t="s">
        <v>125</v>
      </c>
      <c r="L2529" t="s">
        <v>22</v>
      </c>
      <c r="M2529" s="1">
        <v>37721</v>
      </c>
      <c r="N2529">
        <v>2003</v>
      </c>
    </row>
    <row r="2530" spans="1:14">
      <c r="A2530" t="s">
        <v>14</v>
      </c>
      <c r="B2530" t="str">
        <f>"123005199800"</f>
        <v>123005199800</v>
      </c>
      <c r="C2530" t="s">
        <v>2318</v>
      </c>
      <c r="D2530" t="s">
        <v>58</v>
      </c>
      <c r="G2530" t="s">
        <v>32</v>
      </c>
      <c r="H2530" t="s">
        <v>59</v>
      </c>
      <c r="I2530" t="s">
        <v>1231</v>
      </c>
      <c r="J2530" t="s">
        <v>124</v>
      </c>
      <c r="K2530" t="s">
        <v>690</v>
      </c>
      <c r="L2530" t="s">
        <v>48</v>
      </c>
      <c r="M2530" s="1">
        <v>35945</v>
      </c>
      <c r="N2530">
        <v>1998</v>
      </c>
    </row>
    <row r="2531" spans="1:14">
      <c r="A2531" t="s">
        <v>14</v>
      </c>
      <c r="B2531" t="str">
        <f>"110302200100"</f>
        <v>110302200100</v>
      </c>
      <c r="C2531" t="s">
        <v>1230</v>
      </c>
      <c r="D2531" t="s">
        <v>431</v>
      </c>
      <c r="G2531" t="s">
        <v>17</v>
      </c>
      <c r="H2531" t="s">
        <v>18</v>
      </c>
      <c r="I2531" t="s">
        <v>1231</v>
      </c>
      <c r="J2531" t="s">
        <v>124</v>
      </c>
      <c r="K2531" t="s">
        <v>1232</v>
      </c>
      <c r="L2531" t="s">
        <v>48</v>
      </c>
      <c r="M2531" s="1">
        <v>36925</v>
      </c>
      <c r="N2531">
        <v>2001</v>
      </c>
    </row>
    <row r="2532" spans="1:14">
      <c r="A2532" t="s">
        <v>14</v>
      </c>
      <c r="B2532" t="str">
        <f>"123101200400"</f>
        <v>123101200400</v>
      </c>
      <c r="C2532" t="s">
        <v>231</v>
      </c>
      <c r="D2532" t="s">
        <v>235</v>
      </c>
      <c r="G2532" t="s">
        <v>32</v>
      </c>
      <c r="H2532" t="s">
        <v>33</v>
      </c>
      <c r="I2532" t="s">
        <v>216</v>
      </c>
      <c r="J2532" t="s">
        <v>217</v>
      </c>
      <c r="K2532" t="s">
        <v>236</v>
      </c>
      <c r="M2532" s="1">
        <v>38017</v>
      </c>
      <c r="N2532">
        <v>2004</v>
      </c>
    </row>
    <row r="2533" spans="1:14">
      <c r="A2533" t="s">
        <v>14</v>
      </c>
      <c r="B2533" t="str">
        <f>"121109200400"</f>
        <v>121109200400</v>
      </c>
      <c r="C2533" t="s">
        <v>1269</v>
      </c>
      <c r="D2533" t="s">
        <v>178</v>
      </c>
      <c r="G2533" t="s">
        <v>32</v>
      </c>
      <c r="H2533" t="s">
        <v>33</v>
      </c>
      <c r="I2533" t="s">
        <v>216</v>
      </c>
      <c r="J2533" t="s">
        <v>217</v>
      </c>
      <c r="K2533" t="s">
        <v>236</v>
      </c>
      <c r="M2533" s="1">
        <v>38241</v>
      </c>
      <c r="N2533">
        <v>2004</v>
      </c>
    </row>
    <row r="2534" spans="1:14">
      <c r="A2534" t="s">
        <v>14</v>
      </c>
      <c r="B2534" t="str">
        <f>"121801200500"</f>
        <v>121801200500</v>
      </c>
      <c r="C2534" t="s">
        <v>1825</v>
      </c>
      <c r="D2534" t="s">
        <v>249</v>
      </c>
      <c r="G2534" t="s">
        <v>32</v>
      </c>
      <c r="H2534" t="s">
        <v>33</v>
      </c>
      <c r="I2534" t="s">
        <v>216</v>
      </c>
      <c r="J2534" t="s">
        <v>217</v>
      </c>
      <c r="K2534" t="s">
        <v>236</v>
      </c>
      <c r="L2534" t="s">
        <v>22</v>
      </c>
      <c r="M2534" s="1">
        <v>38370</v>
      </c>
      <c r="N2534">
        <v>2005</v>
      </c>
    </row>
    <row r="2535" spans="1:14">
      <c r="A2535" t="s">
        <v>14</v>
      </c>
      <c r="B2535" t="str">
        <f>"121812200400"</f>
        <v>121812200400</v>
      </c>
      <c r="C2535" t="s">
        <v>1848</v>
      </c>
      <c r="D2535" t="s">
        <v>380</v>
      </c>
      <c r="G2535" t="s">
        <v>32</v>
      </c>
      <c r="H2535" t="s">
        <v>33</v>
      </c>
      <c r="I2535" t="s">
        <v>216</v>
      </c>
      <c r="J2535" t="s">
        <v>217</v>
      </c>
      <c r="K2535" t="s">
        <v>1263</v>
      </c>
      <c r="L2535" t="s">
        <v>22</v>
      </c>
      <c r="M2535" s="1">
        <v>38339</v>
      </c>
      <c r="N2535">
        <v>2004</v>
      </c>
    </row>
    <row r="2536" spans="1:14">
      <c r="A2536" t="s">
        <v>14</v>
      </c>
      <c r="B2536" t="str">
        <f>"122703200400"</f>
        <v>122703200400</v>
      </c>
      <c r="C2536" t="s">
        <v>1901</v>
      </c>
      <c r="D2536" t="s">
        <v>127</v>
      </c>
      <c r="G2536" t="s">
        <v>32</v>
      </c>
      <c r="H2536" t="s">
        <v>33</v>
      </c>
      <c r="I2536" t="s">
        <v>216</v>
      </c>
      <c r="J2536" t="s">
        <v>217</v>
      </c>
      <c r="K2536" t="s">
        <v>1902</v>
      </c>
      <c r="L2536" t="s">
        <v>22</v>
      </c>
      <c r="M2536" s="1">
        <v>38073</v>
      </c>
      <c r="N2536">
        <v>2004</v>
      </c>
    </row>
    <row r="2537" spans="1:14">
      <c r="A2537" t="s">
        <v>14</v>
      </c>
      <c r="B2537" t="str">
        <f>"120412200401"</f>
        <v>120412200401</v>
      </c>
      <c r="C2537" t="s">
        <v>2679</v>
      </c>
      <c r="D2537" t="s">
        <v>58</v>
      </c>
      <c r="G2537" t="s">
        <v>32</v>
      </c>
      <c r="H2537" t="s">
        <v>33</v>
      </c>
      <c r="I2537" t="s">
        <v>216</v>
      </c>
      <c r="J2537" t="s">
        <v>217</v>
      </c>
      <c r="K2537" t="s">
        <v>218</v>
      </c>
      <c r="L2537" t="s">
        <v>22</v>
      </c>
      <c r="M2537" s="1">
        <v>38325</v>
      </c>
      <c r="N2537">
        <v>2004</v>
      </c>
    </row>
    <row r="2538" spans="1:14">
      <c r="A2538" t="s">
        <v>14</v>
      </c>
      <c r="B2538" t="str">
        <f>"122012200300"</f>
        <v>122012200300</v>
      </c>
      <c r="C2538" t="s">
        <v>542</v>
      </c>
      <c r="D2538" t="s">
        <v>178</v>
      </c>
      <c r="G2538" t="s">
        <v>32</v>
      </c>
      <c r="H2538" t="s">
        <v>65</v>
      </c>
      <c r="I2538" t="s">
        <v>216</v>
      </c>
      <c r="J2538" t="s">
        <v>217</v>
      </c>
      <c r="K2538" t="s">
        <v>543</v>
      </c>
      <c r="L2538" t="s">
        <v>22</v>
      </c>
      <c r="M2538" s="1">
        <v>37975</v>
      </c>
      <c r="N2538">
        <v>2003</v>
      </c>
    </row>
    <row r="2539" spans="1:14">
      <c r="A2539" t="s">
        <v>14</v>
      </c>
      <c r="B2539" t="str">
        <f>"122105200300"</f>
        <v>122105200300</v>
      </c>
      <c r="C2539" t="s">
        <v>576</v>
      </c>
      <c r="D2539" t="s">
        <v>58</v>
      </c>
      <c r="G2539" t="s">
        <v>32</v>
      </c>
      <c r="H2539" t="s">
        <v>65</v>
      </c>
      <c r="I2539" t="s">
        <v>216</v>
      </c>
      <c r="J2539" t="s">
        <v>217</v>
      </c>
      <c r="K2539" t="s">
        <v>318</v>
      </c>
      <c r="L2539" t="s">
        <v>22</v>
      </c>
      <c r="M2539" s="1">
        <v>37762</v>
      </c>
      <c r="N2539">
        <v>2003</v>
      </c>
    </row>
    <row r="2540" spans="1:14">
      <c r="A2540" t="s">
        <v>14</v>
      </c>
      <c r="B2540" t="str">
        <f>"121809200201"</f>
        <v>121809200201</v>
      </c>
      <c r="C2540" t="s">
        <v>819</v>
      </c>
      <c r="D2540" t="s">
        <v>541</v>
      </c>
      <c r="G2540" t="s">
        <v>32</v>
      </c>
      <c r="H2540" t="s">
        <v>65</v>
      </c>
      <c r="I2540" t="s">
        <v>216</v>
      </c>
      <c r="J2540" t="s">
        <v>217</v>
      </c>
      <c r="K2540" t="s">
        <v>418</v>
      </c>
      <c r="L2540" t="s">
        <v>22</v>
      </c>
      <c r="M2540" s="1">
        <v>37517</v>
      </c>
      <c r="N2540">
        <v>2002</v>
      </c>
    </row>
    <row r="2541" spans="1:14">
      <c r="A2541" t="s">
        <v>14</v>
      </c>
      <c r="B2541" t="str">
        <f>"120302200300"</f>
        <v>120302200300</v>
      </c>
      <c r="C2541" t="s">
        <v>1505</v>
      </c>
      <c r="D2541" t="s">
        <v>31</v>
      </c>
      <c r="G2541" t="s">
        <v>32</v>
      </c>
      <c r="H2541" t="s">
        <v>65</v>
      </c>
      <c r="I2541" t="s">
        <v>216</v>
      </c>
      <c r="J2541" t="s">
        <v>217</v>
      </c>
      <c r="K2541" t="s">
        <v>418</v>
      </c>
      <c r="L2541" t="s">
        <v>22</v>
      </c>
      <c r="M2541" s="1">
        <v>37655</v>
      </c>
      <c r="N2541">
        <v>2003</v>
      </c>
    </row>
    <row r="2542" spans="1:14">
      <c r="A2542" t="s">
        <v>14</v>
      </c>
      <c r="B2542" t="str">
        <f>"122511200201"</f>
        <v>122511200201</v>
      </c>
      <c r="C2542" t="s">
        <v>1736</v>
      </c>
      <c r="D2542" t="s">
        <v>58</v>
      </c>
      <c r="G2542" t="s">
        <v>32</v>
      </c>
      <c r="H2542" t="s">
        <v>65</v>
      </c>
      <c r="I2542" t="s">
        <v>216</v>
      </c>
      <c r="J2542" t="s">
        <v>217</v>
      </c>
      <c r="K2542" t="s">
        <v>318</v>
      </c>
      <c r="L2542" t="s">
        <v>22</v>
      </c>
      <c r="M2542" s="1">
        <v>37585</v>
      </c>
      <c r="N2542">
        <v>2002</v>
      </c>
    </row>
    <row r="2543" spans="1:14">
      <c r="A2543" t="s">
        <v>14</v>
      </c>
      <c r="B2543" t="str">
        <f>"122204200301"</f>
        <v>122204200301</v>
      </c>
      <c r="C2543" t="s">
        <v>1788</v>
      </c>
      <c r="D2543" t="s">
        <v>58</v>
      </c>
      <c r="G2543" t="s">
        <v>32</v>
      </c>
      <c r="H2543" t="s">
        <v>65</v>
      </c>
      <c r="I2543" t="s">
        <v>216</v>
      </c>
      <c r="J2543" t="s">
        <v>217</v>
      </c>
      <c r="K2543" t="s">
        <v>218</v>
      </c>
      <c r="L2543" t="s">
        <v>22</v>
      </c>
      <c r="M2543" s="1">
        <v>37733</v>
      </c>
      <c r="N2543">
        <v>2003</v>
      </c>
    </row>
    <row r="2544" spans="1:14">
      <c r="A2544" t="s">
        <v>14</v>
      </c>
      <c r="B2544" t="str">
        <f>"121802200300"</f>
        <v>121802200300</v>
      </c>
      <c r="C2544" t="s">
        <v>1933</v>
      </c>
      <c r="D2544" t="s">
        <v>184</v>
      </c>
      <c r="G2544" t="s">
        <v>32</v>
      </c>
      <c r="H2544" t="s">
        <v>65</v>
      </c>
      <c r="I2544" t="s">
        <v>216</v>
      </c>
      <c r="J2544" t="s">
        <v>217</v>
      </c>
      <c r="K2544" t="s">
        <v>236</v>
      </c>
      <c r="L2544" t="s">
        <v>202</v>
      </c>
      <c r="M2544" s="1">
        <v>37670</v>
      </c>
      <c r="N2544">
        <v>2003</v>
      </c>
    </row>
    <row r="2545" spans="1:14">
      <c r="A2545" t="s">
        <v>14</v>
      </c>
      <c r="B2545" t="str">
        <f>"121304200300"</f>
        <v>121304200300</v>
      </c>
      <c r="C2545" t="s">
        <v>2308</v>
      </c>
      <c r="D2545" t="s">
        <v>609</v>
      </c>
      <c r="G2545" t="s">
        <v>32</v>
      </c>
      <c r="H2545" t="s">
        <v>65</v>
      </c>
      <c r="I2545" t="s">
        <v>216</v>
      </c>
      <c r="J2545" t="s">
        <v>217</v>
      </c>
      <c r="K2545" t="s">
        <v>543</v>
      </c>
      <c r="M2545" s="1">
        <v>37724</v>
      </c>
      <c r="N2545">
        <v>2003</v>
      </c>
    </row>
    <row r="2546" spans="1:14">
      <c r="A2546" t="s">
        <v>14</v>
      </c>
      <c r="B2546" t="str">
        <f>"122810200200"</f>
        <v>122810200200</v>
      </c>
      <c r="C2546" t="s">
        <v>2316</v>
      </c>
      <c r="D2546" t="s">
        <v>279</v>
      </c>
      <c r="G2546" t="s">
        <v>32</v>
      </c>
      <c r="H2546" t="s">
        <v>65</v>
      </c>
      <c r="I2546" t="s">
        <v>216</v>
      </c>
      <c r="J2546" t="s">
        <v>217</v>
      </c>
      <c r="K2546" t="s">
        <v>318</v>
      </c>
      <c r="M2546" s="1">
        <v>37557</v>
      </c>
      <c r="N2546">
        <v>2002</v>
      </c>
    </row>
    <row r="2547" spans="1:14">
      <c r="A2547" t="s">
        <v>14</v>
      </c>
      <c r="B2547" t="str">
        <f>"123006200200"</f>
        <v>123006200200</v>
      </c>
      <c r="C2547" t="s">
        <v>2352</v>
      </c>
      <c r="D2547" t="s">
        <v>184</v>
      </c>
      <c r="G2547" t="s">
        <v>32</v>
      </c>
      <c r="H2547" t="s">
        <v>65</v>
      </c>
      <c r="I2547" t="s">
        <v>216</v>
      </c>
      <c r="J2547" t="s">
        <v>217</v>
      </c>
      <c r="K2547" t="s">
        <v>543</v>
      </c>
      <c r="M2547" s="1">
        <v>37437</v>
      </c>
      <c r="N2547">
        <v>2002</v>
      </c>
    </row>
    <row r="2548" spans="1:14">
      <c r="A2548" t="s">
        <v>14</v>
      </c>
      <c r="B2548" t="str">
        <f>"122411199200"</f>
        <v>122411199200</v>
      </c>
      <c r="C2548" t="s">
        <v>408</v>
      </c>
      <c r="D2548" t="s">
        <v>409</v>
      </c>
      <c r="G2548" t="s">
        <v>32</v>
      </c>
      <c r="H2548" t="s">
        <v>59</v>
      </c>
      <c r="I2548" t="s">
        <v>216</v>
      </c>
      <c r="J2548" t="s">
        <v>217</v>
      </c>
      <c r="K2548" t="s">
        <v>410</v>
      </c>
      <c r="L2548" t="s">
        <v>48</v>
      </c>
      <c r="M2548" s="1">
        <v>33932</v>
      </c>
      <c r="N2548">
        <v>1992</v>
      </c>
    </row>
    <row r="2549" spans="1:14">
      <c r="A2549" t="s">
        <v>14</v>
      </c>
      <c r="B2549" t="str">
        <f>"121707199400"</f>
        <v>121707199400</v>
      </c>
      <c r="C2549" t="s">
        <v>419</v>
      </c>
      <c r="D2549" t="s">
        <v>420</v>
      </c>
      <c r="G2549" t="s">
        <v>32</v>
      </c>
      <c r="H2549" t="s">
        <v>59</v>
      </c>
      <c r="I2549" t="s">
        <v>216</v>
      </c>
      <c r="J2549" t="s">
        <v>217</v>
      </c>
      <c r="K2549" t="s">
        <v>418</v>
      </c>
      <c r="L2549" t="s">
        <v>48</v>
      </c>
      <c r="M2549" s="1">
        <v>34532</v>
      </c>
      <c r="N2549">
        <v>1994</v>
      </c>
    </row>
    <row r="2550" spans="1:14">
      <c r="A2550" t="s">
        <v>14</v>
      </c>
      <c r="B2550" t="str">
        <f>"120910200101"</f>
        <v>120910200101</v>
      </c>
      <c r="C2550" t="s">
        <v>1069</v>
      </c>
      <c r="D2550" t="s">
        <v>31</v>
      </c>
      <c r="G2550" t="s">
        <v>32</v>
      </c>
      <c r="H2550" t="s">
        <v>44</v>
      </c>
      <c r="I2550" t="s">
        <v>216</v>
      </c>
      <c r="J2550" t="s">
        <v>217</v>
      </c>
      <c r="K2550" t="s">
        <v>543</v>
      </c>
      <c r="M2550" s="1">
        <v>37173</v>
      </c>
      <c r="N2550">
        <v>2001</v>
      </c>
    </row>
    <row r="2551" spans="1:14">
      <c r="A2551" t="s">
        <v>14</v>
      </c>
      <c r="B2551" t="str">
        <f>"122209200000"</f>
        <v>122209200000</v>
      </c>
      <c r="C2551" t="s">
        <v>1077</v>
      </c>
      <c r="D2551" t="s">
        <v>380</v>
      </c>
      <c r="G2551" t="s">
        <v>32</v>
      </c>
      <c r="H2551" t="s">
        <v>44</v>
      </c>
      <c r="I2551" t="s">
        <v>216</v>
      </c>
      <c r="J2551" t="s">
        <v>217</v>
      </c>
      <c r="K2551" t="s">
        <v>1078</v>
      </c>
      <c r="L2551" t="s">
        <v>22</v>
      </c>
      <c r="M2551" s="1">
        <v>36791</v>
      </c>
      <c r="N2551">
        <v>2000</v>
      </c>
    </row>
    <row r="2552" spans="1:14">
      <c r="A2552" t="s">
        <v>14</v>
      </c>
      <c r="B2552" t="str">
        <f>"121304200001"</f>
        <v>121304200001</v>
      </c>
      <c r="C2552" t="s">
        <v>1894</v>
      </c>
      <c r="D2552" t="s">
        <v>310</v>
      </c>
      <c r="G2552" t="s">
        <v>32</v>
      </c>
      <c r="H2552" t="s">
        <v>44</v>
      </c>
      <c r="I2552" t="s">
        <v>216</v>
      </c>
      <c r="J2552" t="s">
        <v>217</v>
      </c>
      <c r="K2552" t="s">
        <v>418</v>
      </c>
      <c r="L2552" t="s">
        <v>22</v>
      </c>
      <c r="M2552" s="1">
        <v>36629</v>
      </c>
      <c r="N2552">
        <v>2000</v>
      </c>
    </row>
    <row r="2553" spans="1:14">
      <c r="A2553" t="s">
        <v>14</v>
      </c>
      <c r="B2553" t="str">
        <f>"122204200100"</f>
        <v>122204200100</v>
      </c>
      <c r="C2553" t="s">
        <v>1908</v>
      </c>
      <c r="D2553" t="s">
        <v>127</v>
      </c>
      <c r="G2553" t="s">
        <v>32</v>
      </c>
      <c r="H2553" t="s">
        <v>44</v>
      </c>
      <c r="I2553" t="s">
        <v>216</v>
      </c>
      <c r="J2553" t="s">
        <v>217</v>
      </c>
      <c r="K2553" t="s">
        <v>318</v>
      </c>
      <c r="M2553" s="1">
        <v>37003</v>
      </c>
      <c r="N2553">
        <v>2001</v>
      </c>
    </row>
    <row r="2554" spans="1:14">
      <c r="A2554" t="s">
        <v>14</v>
      </c>
      <c r="B2554" t="str">
        <f>"122003200000"</f>
        <v>122003200000</v>
      </c>
      <c r="C2554" t="s">
        <v>2594</v>
      </c>
      <c r="D2554" t="s">
        <v>353</v>
      </c>
      <c r="G2554" t="s">
        <v>32</v>
      </c>
      <c r="H2554" t="s">
        <v>44</v>
      </c>
      <c r="I2554" t="s">
        <v>216</v>
      </c>
      <c r="J2554" t="s">
        <v>217</v>
      </c>
      <c r="K2554" t="s">
        <v>418</v>
      </c>
      <c r="L2554" t="s">
        <v>22</v>
      </c>
      <c r="M2554" s="1">
        <v>36605</v>
      </c>
      <c r="N2554">
        <v>2000</v>
      </c>
    </row>
    <row r="2555" spans="1:14">
      <c r="A2555" t="s">
        <v>14</v>
      </c>
      <c r="B2555" t="str">
        <f>"122205200100"</f>
        <v>122205200100</v>
      </c>
      <c r="C2555" t="s">
        <v>2651</v>
      </c>
      <c r="D2555" t="s">
        <v>143</v>
      </c>
      <c r="G2555" t="s">
        <v>32</v>
      </c>
      <c r="H2555" t="s">
        <v>44</v>
      </c>
      <c r="I2555" t="s">
        <v>216</v>
      </c>
      <c r="J2555" t="s">
        <v>217</v>
      </c>
      <c r="K2555" t="s">
        <v>543</v>
      </c>
      <c r="M2555" s="1">
        <v>37033</v>
      </c>
      <c r="N2555">
        <v>2001</v>
      </c>
    </row>
    <row r="2556" spans="1:14">
      <c r="A2556" t="s">
        <v>14</v>
      </c>
      <c r="B2556" t="str">
        <f>"111308199300"</f>
        <v>111308199300</v>
      </c>
      <c r="C2556" t="s">
        <v>417</v>
      </c>
      <c r="D2556" t="s">
        <v>115</v>
      </c>
      <c r="G2556" t="s">
        <v>17</v>
      </c>
      <c r="H2556" t="s">
        <v>25</v>
      </c>
      <c r="I2556" t="s">
        <v>216</v>
      </c>
      <c r="J2556" t="s">
        <v>217</v>
      </c>
      <c r="K2556" t="s">
        <v>418</v>
      </c>
      <c r="L2556" t="s">
        <v>48</v>
      </c>
      <c r="M2556" s="1">
        <v>34194</v>
      </c>
      <c r="N2556">
        <v>1993</v>
      </c>
    </row>
    <row r="2557" spans="1:14">
      <c r="A2557" t="s">
        <v>14</v>
      </c>
      <c r="B2557" t="str">
        <f>"111906199800"</f>
        <v>111906199800</v>
      </c>
      <c r="C2557" t="s">
        <v>977</v>
      </c>
      <c r="D2557" t="s">
        <v>221</v>
      </c>
      <c r="G2557" t="s">
        <v>17</v>
      </c>
      <c r="H2557" t="s">
        <v>25</v>
      </c>
      <c r="I2557" t="s">
        <v>216</v>
      </c>
      <c r="J2557" t="s">
        <v>217</v>
      </c>
      <c r="K2557" t="s">
        <v>543</v>
      </c>
      <c r="M2557" s="1">
        <v>35965</v>
      </c>
      <c r="N2557">
        <v>1998</v>
      </c>
    </row>
    <row r="2558" spans="1:14">
      <c r="A2558" t="s">
        <v>14</v>
      </c>
      <c r="B2558" t="str">
        <f>"112406199800"</f>
        <v>112406199800</v>
      </c>
      <c r="C2558" t="s">
        <v>1538</v>
      </c>
      <c r="D2558" t="s">
        <v>1103</v>
      </c>
      <c r="G2558" t="s">
        <v>17</v>
      </c>
      <c r="H2558" t="s">
        <v>25</v>
      </c>
      <c r="I2558" t="s">
        <v>216</v>
      </c>
      <c r="J2558" t="s">
        <v>217</v>
      </c>
      <c r="K2558" t="s">
        <v>543</v>
      </c>
      <c r="L2558" t="s">
        <v>63</v>
      </c>
      <c r="M2558" s="1">
        <v>35970</v>
      </c>
      <c r="N2558">
        <v>1998</v>
      </c>
    </row>
    <row r="2559" spans="1:14">
      <c r="A2559" t="s">
        <v>14</v>
      </c>
      <c r="B2559" t="str">
        <f>"112202199800"</f>
        <v>112202199800</v>
      </c>
      <c r="C2559" t="s">
        <v>1584</v>
      </c>
      <c r="D2559" t="s">
        <v>209</v>
      </c>
      <c r="G2559" t="s">
        <v>17</v>
      </c>
      <c r="H2559" t="s">
        <v>25</v>
      </c>
      <c r="I2559" t="s">
        <v>216</v>
      </c>
      <c r="J2559" t="s">
        <v>217</v>
      </c>
      <c r="K2559" t="s">
        <v>543</v>
      </c>
      <c r="M2559" s="1">
        <v>35848</v>
      </c>
      <c r="N2559">
        <v>1998</v>
      </c>
    </row>
    <row r="2560" spans="1:14">
      <c r="A2560" t="s">
        <v>14</v>
      </c>
      <c r="B2560" t="str">
        <f>"112006199000"</f>
        <v>112006199000</v>
      </c>
      <c r="C2560" t="s">
        <v>2930</v>
      </c>
      <c r="D2560" t="s">
        <v>1103</v>
      </c>
      <c r="G2560" t="s">
        <v>17</v>
      </c>
      <c r="H2560" t="s">
        <v>25</v>
      </c>
      <c r="I2560" t="s">
        <v>216</v>
      </c>
      <c r="J2560" t="s">
        <v>217</v>
      </c>
      <c r="K2560" t="s">
        <v>1531</v>
      </c>
      <c r="L2560" t="s">
        <v>63</v>
      </c>
      <c r="M2560" s="1">
        <v>33044</v>
      </c>
      <c r="N2560">
        <v>1990</v>
      </c>
    </row>
    <row r="2561" spans="1:14">
      <c r="A2561" t="s">
        <v>14</v>
      </c>
      <c r="B2561" t="str">
        <f>"113007200101"</f>
        <v>113007200101</v>
      </c>
      <c r="C2561" t="s">
        <v>991</v>
      </c>
      <c r="D2561" t="s">
        <v>221</v>
      </c>
      <c r="G2561" t="s">
        <v>17</v>
      </c>
      <c r="H2561" t="s">
        <v>18</v>
      </c>
      <c r="I2561" t="s">
        <v>216</v>
      </c>
      <c r="J2561" t="s">
        <v>217</v>
      </c>
      <c r="K2561" t="s">
        <v>318</v>
      </c>
      <c r="L2561" t="s">
        <v>22</v>
      </c>
      <c r="M2561" s="1">
        <v>37102</v>
      </c>
      <c r="N2561">
        <v>2001</v>
      </c>
    </row>
    <row r="2562" spans="1:14">
      <c r="A2562" t="s">
        <v>14</v>
      </c>
      <c r="B2562" t="str">
        <f>"110709200101"</f>
        <v>110709200101</v>
      </c>
      <c r="C2562" t="s">
        <v>1020</v>
      </c>
      <c r="D2562" t="s">
        <v>305</v>
      </c>
      <c r="G2562" t="s">
        <v>17</v>
      </c>
      <c r="H2562" t="s">
        <v>18</v>
      </c>
      <c r="I2562" t="s">
        <v>216</v>
      </c>
      <c r="J2562" t="s">
        <v>217</v>
      </c>
      <c r="K2562" t="s">
        <v>318</v>
      </c>
      <c r="L2562" t="s">
        <v>22</v>
      </c>
      <c r="M2562" s="1">
        <v>37141</v>
      </c>
      <c r="N2562">
        <v>2001</v>
      </c>
    </row>
    <row r="2563" spans="1:14">
      <c r="A2563" t="s">
        <v>14</v>
      </c>
      <c r="B2563" t="str">
        <f>"110304200100"</f>
        <v>110304200100</v>
      </c>
      <c r="C2563" t="s">
        <v>1202</v>
      </c>
      <c r="D2563" t="s">
        <v>283</v>
      </c>
      <c r="G2563" t="s">
        <v>17</v>
      </c>
      <c r="H2563" t="s">
        <v>18</v>
      </c>
      <c r="I2563" t="s">
        <v>216</v>
      </c>
      <c r="J2563" t="s">
        <v>217</v>
      </c>
      <c r="K2563" t="s">
        <v>318</v>
      </c>
      <c r="L2563" t="s">
        <v>22</v>
      </c>
      <c r="M2563" s="1">
        <v>36984</v>
      </c>
      <c r="N2563">
        <v>2001</v>
      </c>
    </row>
    <row r="2564" spans="1:14">
      <c r="A2564" t="s">
        <v>14</v>
      </c>
      <c r="B2564" t="str">
        <f>"110410199901"</f>
        <v>110410199901</v>
      </c>
      <c r="C2564" t="s">
        <v>1359</v>
      </c>
      <c r="D2564" t="s">
        <v>115</v>
      </c>
      <c r="G2564" t="s">
        <v>17</v>
      </c>
      <c r="H2564" t="s">
        <v>18</v>
      </c>
      <c r="I2564" t="s">
        <v>216</v>
      </c>
      <c r="J2564" t="s">
        <v>217</v>
      </c>
      <c r="K2564" t="s">
        <v>418</v>
      </c>
      <c r="M2564" s="1">
        <v>36437</v>
      </c>
      <c r="N2564">
        <v>1999</v>
      </c>
    </row>
    <row r="2565" spans="1:14">
      <c r="A2565" t="s">
        <v>14</v>
      </c>
      <c r="B2565" t="str">
        <f>"110609200000"</f>
        <v>110609200000</v>
      </c>
      <c r="C2565" t="s">
        <v>1623</v>
      </c>
      <c r="D2565" t="s">
        <v>136</v>
      </c>
      <c r="G2565" t="s">
        <v>17</v>
      </c>
      <c r="H2565" t="s">
        <v>18</v>
      </c>
      <c r="I2565" t="s">
        <v>216</v>
      </c>
      <c r="J2565" t="s">
        <v>217</v>
      </c>
      <c r="K2565" t="s">
        <v>318</v>
      </c>
      <c r="L2565" t="s">
        <v>22</v>
      </c>
      <c r="M2565" s="1">
        <v>36775</v>
      </c>
      <c r="N2565">
        <v>2000</v>
      </c>
    </row>
    <row r="2566" spans="1:14">
      <c r="A2566" t="s">
        <v>14</v>
      </c>
      <c r="B2566" t="str">
        <f>"111411200003"</f>
        <v>111411200003</v>
      </c>
      <c r="C2566" t="s">
        <v>1658</v>
      </c>
      <c r="D2566" t="s">
        <v>98</v>
      </c>
      <c r="G2566" t="s">
        <v>17</v>
      </c>
      <c r="H2566" t="s">
        <v>18</v>
      </c>
      <c r="I2566" t="s">
        <v>216</v>
      </c>
      <c r="J2566" t="s">
        <v>217</v>
      </c>
      <c r="K2566" t="s">
        <v>418</v>
      </c>
      <c r="L2566" t="s">
        <v>22</v>
      </c>
      <c r="M2566" s="1">
        <v>36844</v>
      </c>
      <c r="N2566">
        <v>2000</v>
      </c>
    </row>
    <row r="2567" spans="1:14">
      <c r="A2567" t="s">
        <v>14</v>
      </c>
      <c r="B2567" t="str">
        <f>"111304200002"</f>
        <v>111304200002</v>
      </c>
      <c r="C2567" t="s">
        <v>1830</v>
      </c>
      <c r="D2567" t="s">
        <v>292</v>
      </c>
      <c r="G2567" t="s">
        <v>17</v>
      </c>
      <c r="H2567" t="s">
        <v>18</v>
      </c>
      <c r="I2567" t="s">
        <v>216</v>
      </c>
      <c r="J2567" t="s">
        <v>217</v>
      </c>
      <c r="K2567" t="s">
        <v>418</v>
      </c>
      <c r="L2567" t="s">
        <v>22</v>
      </c>
      <c r="M2567" s="1">
        <v>36629</v>
      </c>
      <c r="N2567">
        <v>2000</v>
      </c>
    </row>
    <row r="2568" spans="1:14">
      <c r="A2568" t="s">
        <v>14</v>
      </c>
      <c r="B2568" t="str">
        <f>"112406200101"</f>
        <v>112406200101</v>
      </c>
      <c r="C2568" t="s">
        <v>2282</v>
      </c>
      <c r="D2568" t="s">
        <v>403</v>
      </c>
      <c r="G2568" t="s">
        <v>17</v>
      </c>
      <c r="H2568" t="s">
        <v>18</v>
      </c>
      <c r="I2568" t="s">
        <v>216</v>
      </c>
      <c r="J2568" t="s">
        <v>217</v>
      </c>
      <c r="K2568" t="s">
        <v>543</v>
      </c>
      <c r="L2568" t="s">
        <v>22</v>
      </c>
      <c r="M2568" s="1">
        <v>37066</v>
      </c>
      <c r="N2568">
        <v>2001</v>
      </c>
    </row>
    <row r="2569" spans="1:14">
      <c r="A2569" t="s">
        <v>14</v>
      </c>
      <c r="B2569" t="str">
        <f>"110908200100"</f>
        <v>110908200100</v>
      </c>
      <c r="C2569" t="s">
        <v>2698</v>
      </c>
      <c r="D2569" t="s">
        <v>89</v>
      </c>
      <c r="G2569" t="s">
        <v>17</v>
      </c>
      <c r="H2569" t="s">
        <v>18</v>
      </c>
      <c r="I2569" t="s">
        <v>216</v>
      </c>
      <c r="J2569" t="s">
        <v>217</v>
      </c>
      <c r="K2569" t="s">
        <v>1531</v>
      </c>
      <c r="L2569" t="s">
        <v>22</v>
      </c>
      <c r="M2569" s="1">
        <v>37112</v>
      </c>
      <c r="N2569">
        <v>2001</v>
      </c>
    </row>
    <row r="2570" spans="1:14">
      <c r="A2570" t="s">
        <v>14</v>
      </c>
      <c r="B2570" t="str">
        <f>"112512200400"</f>
        <v>112512200400</v>
      </c>
      <c r="C2570" t="s">
        <v>270</v>
      </c>
      <c r="D2570" t="s">
        <v>184</v>
      </c>
      <c r="G2570" t="s">
        <v>17</v>
      </c>
      <c r="H2570" t="s">
        <v>39</v>
      </c>
      <c r="I2570" t="s">
        <v>216</v>
      </c>
      <c r="J2570" t="s">
        <v>217</v>
      </c>
      <c r="K2570" t="s">
        <v>218</v>
      </c>
      <c r="L2570" t="s">
        <v>22</v>
      </c>
      <c r="M2570" s="1">
        <v>38346</v>
      </c>
      <c r="N2570">
        <v>2004</v>
      </c>
    </row>
    <row r="2571" spans="1:14">
      <c r="A2571" t="s">
        <v>14</v>
      </c>
      <c r="B2571" t="str">
        <f>"111905200400"</f>
        <v>111905200400</v>
      </c>
      <c r="C2571" t="s">
        <v>453</v>
      </c>
      <c r="D2571" t="s">
        <v>181</v>
      </c>
      <c r="G2571" t="s">
        <v>17</v>
      </c>
      <c r="H2571" t="s">
        <v>39</v>
      </c>
      <c r="I2571" t="s">
        <v>216</v>
      </c>
      <c r="J2571" t="s">
        <v>217</v>
      </c>
      <c r="K2571" t="s">
        <v>218</v>
      </c>
      <c r="L2571" t="s">
        <v>22</v>
      </c>
      <c r="M2571" s="1">
        <v>38126</v>
      </c>
      <c r="N2571">
        <v>2004</v>
      </c>
    </row>
    <row r="2572" spans="1:14">
      <c r="A2572" t="s">
        <v>14</v>
      </c>
      <c r="B2572" t="str">
        <f>"111310200400"</f>
        <v>111310200400</v>
      </c>
      <c r="C2572" t="s">
        <v>740</v>
      </c>
      <c r="D2572" t="s">
        <v>98</v>
      </c>
      <c r="G2572" t="s">
        <v>17</v>
      </c>
      <c r="H2572" t="s">
        <v>39</v>
      </c>
      <c r="I2572" t="s">
        <v>216</v>
      </c>
      <c r="J2572" t="s">
        <v>217</v>
      </c>
      <c r="K2572" t="s">
        <v>218</v>
      </c>
      <c r="M2572" s="1">
        <v>38273</v>
      </c>
      <c r="N2572">
        <v>2004</v>
      </c>
    </row>
    <row r="2573" spans="1:14">
      <c r="A2573" t="s">
        <v>14</v>
      </c>
      <c r="B2573" t="str">
        <f>"110401200400"</f>
        <v>110401200400</v>
      </c>
      <c r="C2573" t="s">
        <v>1091</v>
      </c>
      <c r="D2573" t="s">
        <v>16</v>
      </c>
      <c r="G2573" t="s">
        <v>17</v>
      </c>
      <c r="H2573" t="s">
        <v>39</v>
      </c>
      <c r="I2573" t="s">
        <v>216</v>
      </c>
      <c r="J2573" t="s">
        <v>217</v>
      </c>
      <c r="K2573" t="s">
        <v>218</v>
      </c>
      <c r="L2573" t="s">
        <v>22</v>
      </c>
      <c r="M2573" s="1">
        <v>37990</v>
      </c>
      <c r="N2573">
        <v>2004</v>
      </c>
    </row>
    <row r="2574" spans="1:14">
      <c r="A2574" t="s">
        <v>14</v>
      </c>
      <c r="B2574" t="str">
        <f>"112211200400"</f>
        <v>112211200400</v>
      </c>
      <c r="C2574" t="s">
        <v>1097</v>
      </c>
      <c r="D2574" t="s">
        <v>89</v>
      </c>
      <c r="G2574" t="s">
        <v>17</v>
      </c>
      <c r="H2574" t="s">
        <v>39</v>
      </c>
      <c r="I2574" t="s">
        <v>216</v>
      </c>
      <c r="J2574" t="s">
        <v>217</v>
      </c>
      <c r="K2574" t="s">
        <v>1098</v>
      </c>
      <c r="L2574" t="s">
        <v>22</v>
      </c>
      <c r="M2574" s="1">
        <v>38313</v>
      </c>
      <c r="N2574">
        <v>2004</v>
      </c>
    </row>
    <row r="2575" spans="1:14">
      <c r="A2575" t="s">
        <v>14</v>
      </c>
      <c r="B2575" t="str">
        <f>"112010200401"</f>
        <v>112010200401</v>
      </c>
      <c r="C2575" t="s">
        <v>1147</v>
      </c>
      <c r="D2575" t="s">
        <v>617</v>
      </c>
      <c r="G2575" t="s">
        <v>17</v>
      </c>
      <c r="H2575" t="s">
        <v>39</v>
      </c>
      <c r="I2575" t="s">
        <v>216</v>
      </c>
      <c r="J2575" t="s">
        <v>217</v>
      </c>
      <c r="K2575" t="s">
        <v>218</v>
      </c>
      <c r="M2575" s="1">
        <v>38280</v>
      </c>
      <c r="N2575">
        <v>2004</v>
      </c>
    </row>
    <row r="2576" spans="1:14">
      <c r="A2576" t="s">
        <v>14</v>
      </c>
      <c r="B2576" t="str">
        <f>"110401200402"</f>
        <v>110401200402</v>
      </c>
      <c r="C2576" t="s">
        <v>1262</v>
      </c>
      <c r="D2576" t="s">
        <v>268</v>
      </c>
      <c r="G2576" t="s">
        <v>17</v>
      </c>
      <c r="H2576" t="s">
        <v>39</v>
      </c>
      <c r="I2576" t="s">
        <v>216</v>
      </c>
      <c r="J2576" t="s">
        <v>217</v>
      </c>
      <c r="K2576" t="s">
        <v>1263</v>
      </c>
      <c r="L2576" t="s">
        <v>22</v>
      </c>
      <c r="M2576" s="1">
        <v>37990</v>
      </c>
      <c r="N2576">
        <v>2004</v>
      </c>
    </row>
    <row r="2577" spans="1:14">
      <c r="A2577" t="s">
        <v>14</v>
      </c>
      <c r="B2577" t="str">
        <f>"110506200400"</f>
        <v>110506200400</v>
      </c>
      <c r="C2577" t="s">
        <v>1766</v>
      </c>
      <c r="D2577" t="s">
        <v>24</v>
      </c>
      <c r="G2577" t="s">
        <v>17</v>
      </c>
      <c r="H2577" t="s">
        <v>39</v>
      </c>
      <c r="I2577" t="s">
        <v>216</v>
      </c>
      <c r="J2577" t="s">
        <v>217</v>
      </c>
      <c r="K2577" t="s">
        <v>218</v>
      </c>
      <c r="M2577" s="1">
        <v>38143</v>
      </c>
      <c r="N2577">
        <v>2004</v>
      </c>
    </row>
    <row r="2578" spans="1:14">
      <c r="A2578" t="s">
        <v>14</v>
      </c>
      <c r="B2578" t="str">
        <f>"111702200400"</f>
        <v>111702200400</v>
      </c>
      <c r="C2578" t="s">
        <v>2235</v>
      </c>
      <c r="D2578" t="s">
        <v>64</v>
      </c>
      <c r="G2578" t="s">
        <v>17</v>
      </c>
      <c r="H2578" t="s">
        <v>39</v>
      </c>
      <c r="I2578" t="s">
        <v>216</v>
      </c>
      <c r="J2578" t="s">
        <v>217</v>
      </c>
      <c r="K2578" t="s">
        <v>218</v>
      </c>
      <c r="L2578" t="s">
        <v>22</v>
      </c>
      <c r="M2578" s="1">
        <v>38034</v>
      </c>
      <c r="N2578">
        <v>2004</v>
      </c>
    </row>
    <row r="2579" spans="1:14">
      <c r="A2579" t="s">
        <v>14</v>
      </c>
      <c r="B2579" t="str">
        <f>"110910200302"</f>
        <v>110910200302</v>
      </c>
      <c r="C2579" t="s">
        <v>215</v>
      </c>
      <c r="D2579" t="s">
        <v>136</v>
      </c>
      <c r="G2579" t="s">
        <v>17</v>
      </c>
      <c r="H2579" t="s">
        <v>51</v>
      </c>
      <c r="I2579" t="s">
        <v>216</v>
      </c>
      <c r="J2579" t="s">
        <v>217</v>
      </c>
      <c r="K2579" t="s">
        <v>218</v>
      </c>
      <c r="M2579" s="1">
        <v>37903</v>
      </c>
      <c r="N2579">
        <v>2003</v>
      </c>
    </row>
    <row r="2580" spans="1:14">
      <c r="A2580" t="s">
        <v>14</v>
      </c>
      <c r="B2580" t="str">
        <f>"110901200201"</f>
        <v>110901200201</v>
      </c>
      <c r="C2580" t="s">
        <v>316</v>
      </c>
      <c r="D2580" t="s">
        <v>317</v>
      </c>
      <c r="G2580" t="s">
        <v>17</v>
      </c>
      <c r="H2580" t="s">
        <v>51</v>
      </c>
      <c r="I2580" t="s">
        <v>216</v>
      </c>
      <c r="J2580" t="s">
        <v>217</v>
      </c>
      <c r="K2580" t="s">
        <v>318</v>
      </c>
      <c r="L2580" t="s">
        <v>22</v>
      </c>
      <c r="M2580" s="1">
        <v>37265</v>
      </c>
      <c r="N2580">
        <v>2002</v>
      </c>
    </row>
    <row r="2581" spans="1:14">
      <c r="A2581" t="s">
        <v>14</v>
      </c>
      <c r="B2581" t="str">
        <f>"110207200201"</f>
        <v>110207200201</v>
      </c>
      <c r="C2581" t="s">
        <v>559</v>
      </c>
      <c r="D2581" t="s">
        <v>50</v>
      </c>
      <c r="G2581" t="s">
        <v>17</v>
      </c>
      <c r="H2581" t="s">
        <v>51</v>
      </c>
      <c r="I2581" t="s">
        <v>216</v>
      </c>
      <c r="J2581" t="s">
        <v>217</v>
      </c>
      <c r="K2581" t="s">
        <v>418</v>
      </c>
      <c r="L2581" t="s">
        <v>22</v>
      </c>
      <c r="M2581" s="1">
        <v>37439</v>
      </c>
      <c r="N2581">
        <v>2002</v>
      </c>
    </row>
    <row r="2582" spans="1:14">
      <c r="A2582" t="s">
        <v>14</v>
      </c>
      <c r="B2582" t="str">
        <f>"112908200301"</f>
        <v>112908200301</v>
      </c>
      <c r="C2582" t="s">
        <v>637</v>
      </c>
      <c r="D2582" t="s">
        <v>120</v>
      </c>
      <c r="G2582" t="s">
        <v>17</v>
      </c>
      <c r="H2582" t="s">
        <v>51</v>
      </c>
      <c r="I2582" t="s">
        <v>216</v>
      </c>
      <c r="J2582" t="s">
        <v>217</v>
      </c>
      <c r="K2582" t="s">
        <v>418</v>
      </c>
      <c r="L2582" t="s">
        <v>22</v>
      </c>
      <c r="M2582" s="1">
        <v>37862</v>
      </c>
      <c r="N2582">
        <v>2003</v>
      </c>
    </row>
    <row r="2583" spans="1:14">
      <c r="A2583" t="s">
        <v>14</v>
      </c>
      <c r="B2583" t="str">
        <f>"111912200201"</f>
        <v>111912200201</v>
      </c>
      <c r="C2583" t="s">
        <v>775</v>
      </c>
      <c r="D2583" t="s">
        <v>292</v>
      </c>
      <c r="G2583" t="s">
        <v>17</v>
      </c>
      <c r="H2583" t="s">
        <v>51</v>
      </c>
      <c r="I2583" t="s">
        <v>216</v>
      </c>
      <c r="J2583" t="s">
        <v>217</v>
      </c>
      <c r="K2583" t="s">
        <v>318</v>
      </c>
      <c r="L2583" t="s">
        <v>22</v>
      </c>
      <c r="M2583" s="1">
        <v>37609</v>
      </c>
      <c r="N2583">
        <v>2002</v>
      </c>
    </row>
    <row r="2584" spans="1:14">
      <c r="A2584" t="s">
        <v>14</v>
      </c>
      <c r="B2584" t="str">
        <f>"112008200300"</f>
        <v>112008200300</v>
      </c>
      <c r="C2584" t="s">
        <v>921</v>
      </c>
      <c r="D2584" t="s">
        <v>98</v>
      </c>
      <c r="G2584" t="s">
        <v>17</v>
      </c>
      <c r="H2584" t="s">
        <v>51</v>
      </c>
      <c r="I2584" t="s">
        <v>216</v>
      </c>
      <c r="J2584" t="s">
        <v>217</v>
      </c>
      <c r="K2584" t="s">
        <v>418</v>
      </c>
      <c r="L2584" t="s">
        <v>22</v>
      </c>
      <c r="M2584" s="1">
        <v>37853</v>
      </c>
      <c r="N2584">
        <v>2003</v>
      </c>
    </row>
    <row r="2585" spans="1:14">
      <c r="A2585" t="s">
        <v>14</v>
      </c>
      <c r="B2585" t="str">
        <f>"112708200302"</f>
        <v>112708200302</v>
      </c>
      <c r="C2585" t="s">
        <v>1019</v>
      </c>
      <c r="D2585" t="s">
        <v>259</v>
      </c>
      <c r="G2585" t="s">
        <v>17</v>
      </c>
      <c r="H2585" t="s">
        <v>51</v>
      </c>
      <c r="I2585" t="s">
        <v>216</v>
      </c>
      <c r="J2585" t="s">
        <v>217</v>
      </c>
      <c r="K2585" t="s">
        <v>418</v>
      </c>
      <c r="L2585" t="s">
        <v>22</v>
      </c>
      <c r="M2585" s="1">
        <v>37860</v>
      </c>
      <c r="N2585">
        <v>2003</v>
      </c>
    </row>
    <row r="2586" spans="1:14">
      <c r="A2586" t="s">
        <v>14</v>
      </c>
      <c r="B2586" t="str">
        <f>"110307200202"</f>
        <v>110307200202</v>
      </c>
      <c r="C2586" t="s">
        <v>1066</v>
      </c>
      <c r="D2586" t="s">
        <v>136</v>
      </c>
      <c r="G2586" t="s">
        <v>17</v>
      </c>
      <c r="H2586" t="s">
        <v>51</v>
      </c>
      <c r="I2586" t="s">
        <v>216</v>
      </c>
      <c r="J2586" t="s">
        <v>217</v>
      </c>
      <c r="K2586" t="s">
        <v>1067</v>
      </c>
      <c r="M2586" s="1">
        <v>37440</v>
      </c>
      <c r="N2586">
        <v>2002</v>
      </c>
    </row>
    <row r="2587" spans="1:14">
      <c r="A2587" t="s">
        <v>14</v>
      </c>
      <c r="B2587" t="str">
        <f>"110509200201"</f>
        <v>110509200201</v>
      </c>
      <c r="C2587" t="s">
        <v>1128</v>
      </c>
      <c r="D2587" t="s">
        <v>181</v>
      </c>
      <c r="G2587" t="s">
        <v>17</v>
      </c>
      <c r="H2587" t="s">
        <v>51</v>
      </c>
      <c r="I2587" t="s">
        <v>216</v>
      </c>
      <c r="J2587" t="s">
        <v>217</v>
      </c>
      <c r="K2587" t="s">
        <v>1067</v>
      </c>
      <c r="M2587" s="1">
        <v>37504</v>
      </c>
      <c r="N2587">
        <v>2002</v>
      </c>
    </row>
    <row r="2588" spans="1:14">
      <c r="A2588" t="s">
        <v>14</v>
      </c>
      <c r="B2588" t="str">
        <f>"110401200200"</f>
        <v>110401200200</v>
      </c>
      <c r="C2588" t="s">
        <v>1137</v>
      </c>
      <c r="D2588" t="s">
        <v>653</v>
      </c>
      <c r="G2588" t="s">
        <v>17</v>
      </c>
      <c r="H2588" t="s">
        <v>51</v>
      </c>
      <c r="I2588" t="s">
        <v>216</v>
      </c>
      <c r="J2588" t="s">
        <v>217</v>
      </c>
      <c r="K2588" t="s">
        <v>1067</v>
      </c>
      <c r="M2588" s="1">
        <v>37260</v>
      </c>
      <c r="N2588">
        <v>2002</v>
      </c>
    </row>
    <row r="2589" spans="1:14">
      <c r="A2589" t="s">
        <v>14</v>
      </c>
      <c r="B2589" t="str">
        <f>"111202200301"</f>
        <v>111202200301</v>
      </c>
      <c r="C2589" t="s">
        <v>1196</v>
      </c>
      <c r="D2589" t="s">
        <v>693</v>
      </c>
      <c r="G2589" t="s">
        <v>17</v>
      </c>
      <c r="H2589" t="s">
        <v>51</v>
      </c>
      <c r="I2589" t="s">
        <v>216</v>
      </c>
      <c r="J2589" t="s">
        <v>217</v>
      </c>
      <c r="K2589" t="s">
        <v>236</v>
      </c>
      <c r="L2589" t="s">
        <v>22</v>
      </c>
      <c r="M2589" s="1">
        <v>37664</v>
      </c>
      <c r="N2589">
        <v>2003</v>
      </c>
    </row>
    <row r="2590" spans="1:14">
      <c r="A2590" t="s">
        <v>14</v>
      </c>
      <c r="B2590" t="str">
        <f>"111403200200"</f>
        <v>111403200200</v>
      </c>
      <c r="C2590" t="s">
        <v>1386</v>
      </c>
      <c r="D2590" t="s">
        <v>113</v>
      </c>
      <c r="G2590" t="s">
        <v>17</v>
      </c>
      <c r="H2590" t="s">
        <v>51</v>
      </c>
      <c r="I2590" t="s">
        <v>216</v>
      </c>
      <c r="J2590" t="s">
        <v>217</v>
      </c>
      <c r="K2590" t="s">
        <v>1078</v>
      </c>
      <c r="L2590" t="s">
        <v>22</v>
      </c>
      <c r="M2590" s="1">
        <v>37329</v>
      </c>
      <c r="N2590">
        <v>2002</v>
      </c>
    </row>
    <row r="2591" spans="1:14">
      <c r="A2591" t="s">
        <v>14</v>
      </c>
      <c r="B2591" t="str">
        <f>"113101200200"</f>
        <v>113101200200</v>
      </c>
      <c r="C2591" t="s">
        <v>1419</v>
      </c>
      <c r="D2591" t="s">
        <v>95</v>
      </c>
      <c r="G2591" t="s">
        <v>17</v>
      </c>
      <c r="H2591" t="s">
        <v>51</v>
      </c>
      <c r="I2591" t="s">
        <v>216</v>
      </c>
      <c r="J2591" t="s">
        <v>217</v>
      </c>
      <c r="K2591" t="s">
        <v>318</v>
      </c>
      <c r="L2591" t="s">
        <v>22</v>
      </c>
      <c r="M2591" s="1">
        <v>37287</v>
      </c>
      <c r="N2591">
        <v>2002</v>
      </c>
    </row>
    <row r="2592" spans="1:14">
      <c r="A2592" t="s">
        <v>14</v>
      </c>
      <c r="B2592" t="str">
        <f>"110204200300"</f>
        <v>110204200300</v>
      </c>
      <c r="C2592" t="s">
        <v>1530</v>
      </c>
      <c r="D2592" t="s">
        <v>1103</v>
      </c>
      <c r="G2592" t="s">
        <v>17</v>
      </c>
      <c r="H2592" t="s">
        <v>51</v>
      </c>
      <c r="I2592" t="s">
        <v>216</v>
      </c>
      <c r="J2592" t="s">
        <v>217</v>
      </c>
      <c r="K2592" t="s">
        <v>1531</v>
      </c>
      <c r="L2592" t="s">
        <v>22</v>
      </c>
      <c r="M2592" s="1">
        <v>37713</v>
      </c>
      <c r="N2592">
        <v>2003</v>
      </c>
    </row>
    <row r="2593" spans="1:14">
      <c r="A2593" t="s">
        <v>14</v>
      </c>
      <c r="B2593" t="str">
        <f>"111311200301"</f>
        <v>111311200301</v>
      </c>
      <c r="C2593" t="s">
        <v>1944</v>
      </c>
      <c r="D2593" t="s">
        <v>283</v>
      </c>
      <c r="G2593" t="s">
        <v>17</v>
      </c>
      <c r="H2593" t="s">
        <v>51</v>
      </c>
      <c r="I2593" t="s">
        <v>216</v>
      </c>
      <c r="J2593" t="s">
        <v>217</v>
      </c>
      <c r="K2593" t="s">
        <v>1067</v>
      </c>
      <c r="M2593" s="1">
        <v>37938</v>
      </c>
      <c r="N2593">
        <v>2003</v>
      </c>
    </row>
    <row r="2594" spans="1:14">
      <c r="A2594" t="s">
        <v>14</v>
      </c>
      <c r="B2594" t="str">
        <f>"110807200200"</f>
        <v>110807200200</v>
      </c>
      <c r="C2594" t="s">
        <v>2037</v>
      </c>
      <c r="D2594" t="s">
        <v>50</v>
      </c>
      <c r="G2594" t="s">
        <v>17</v>
      </c>
      <c r="H2594" t="s">
        <v>51</v>
      </c>
      <c r="I2594" t="s">
        <v>216</v>
      </c>
      <c r="J2594" t="s">
        <v>217</v>
      </c>
      <c r="K2594" t="s">
        <v>218</v>
      </c>
      <c r="M2594" s="1">
        <v>37445</v>
      </c>
      <c r="N2594">
        <v>2002</v>
      </c>
    </row>
    <row r="2595" spans="1:14">
      <c r="A2595" t="s">
        <v>14</v>
      </c>
      <c r="B2595" t="str">
        <f>"113004200302"</f>
        <v>113004200302</v>
      </c>
      <c r="C2595" t="s">
        <v>2131</v>
      </c>
      <c r="D2595" t="s">
        <v>175</v>
      </c>
      <c r="G2595" t="s">
        <v>17</v>
      </c>
      <c r="H2595" t="s">
        <v>51</v>
      </c>
      <c r="I2595" t="s">
        <v>216</v>
      </c>
      <c r="J2595" t="s">
        <v>217</v>
      </c>
      <c r="K2595" t="s">
        <v>1531</v>
      </c>
      <c r="L2595" t="s">
        <v>22</v>
      </c>
      <c r="M2595" s="1">
        <v>37741</v>
      </c>
      <c r="N2595">
        <v>2003</v>
      </c>
    </row>
    <row r="2596" spans="1:14">
      <c r="A2596" t="s">
        <v>14</v>
      </c>
      <c r="B2596" t="str">
        <f>"112207200200"</f>
        <v>112207200200</v>
      </c>
      <c r="C2596" t="s">
        <v>2173</v>
      </c>
      <c r="D2596" t="s">
        <v>382</v>
      </c>
      <c r="G2596" t="s">
        <v>17</v>
      </c>
      <c r="H2596" t="s">
        <v>51</v>
      </c>
      <c r="I2596" t="s">
        <v>216</v>
      </c>
      <c r="J2596" t="s">
        <v>217</v>
      </c>
      <c r="K2596" t="s">
        <v>1078</v>
      </c>
      <c r="L2596" t="s">
        <v>22</v>
      </c>
      <c r="M2596" s="1">
        <v>37459</v>
      </c>
      <c r="N2596">
        <v>2002</v>
      </c>
    </row>
    <row r="2597" spans="1:14">
      <c r="A2597" t="s">
        <v>14</v>
      </c>
      <c r="B2597" t="str">
        <f>"110305200301"</f>
        <v>110305200301</v>
      </c>
      <c r="C2597" t="s">
        <v>2294</v>
      </c>
      <c r="D2597" t="s">
        <v>209</v>
      </c>
      <c r="G2597" t="s">
        <v>17</v>
      </c>
      <c r="H2597" t="s">
        <v>51</v>
      </c>
      <c r="I2597" t="s">
        <v>216</v>
      </c>
      <c r="J2597" t="s">
        <v>217</v>
      </c>
      <c r="K2597" t="s">
        <v>543</v>
      </c>
      <c r="L2597" t="s">
        <v>22</v>
      </c>
      <c r="M2597" s="1">
        <v>37744</v>
      </c>
      <c r="N2597">
        <v>2003</v>
      </c>
    </row>
    <row r="2598" spans="1:14">
      <c r="A2598" t="s">
        <v>14</v>
      </c>
      <c r="B2598" t="str">
        <f>"110402200201"</f>
        <v>110402200201</v>
      </c>
      <c r="C2598" t="s">
        <v>2456</v>
      </c>
      <c r="D2598" t="s">
        <v>344</v>
      </c>
      <c r="G2598" t="s">
        <v>17</v>
      </c>
      <c r="H2598" t="s">
        <v>51</v>
      </c>
      <c r="I2598" t="s">
        <v>216</v>
      </c>
      <c r="J2598" t="s">
        <v>217</v>
      </c>
      <c r="K2598" t="s">
        <v>318</v>
      </c>
      <c r="M2598" s="1">
        <v>37291</v>
      </c>
      <c r="N2598">
        <v>2002</v>
      </c>
    </row>
    <row r="2599" spans="1:14">
      <c r="A2599" t="s">
        <v>14</v>
      </c>
      <c r="B2599" t="str">
        <f>"110302200200"</f>
        <v>110302200200</v>
      </c>
      <c r="C2599" t="s">
        <v>2506</v>
      </c>
      <c r="D2599" t="s">
        <v>155</v>
      </c>
      <c r="G2599" t="s">
        <v>17</v>
      </c>
      <c r="H2599" t="s">
        <v>51</v>
      </c>
      <c r="I2599" t="s">
        <v>216</v>
      </c>
      <c r="J2599" t="s">
        <v>217</v>
      </c>
      <c r="K2599" t="s">
        <v>418</v>
      </c>
      <c r="L2599" t="s">
        <v>22</v>
      </c>
      <c r="M2599" s="1">
        <v>37290</v>
      </c>
      <c r="N2599">
        <v>2002</v>
      </c>
    </row>
    <row r="2600" spans="1:14">
      <c r="A2600" t="s">
        <v>14</v>
      </c>
      <c r="B2600" t="str">
        <f>"110403200303"</f>
        <v>110403200303</v>
      </c>
      <c r="C2600" t="s">
        <v>2552</v>
      </c>
      <c r="D2600" t="s">
        <v>2553</v>
      </c>
      <c r="G2600" t="s">
        <v>17</v>
      </c>
      <c r="H2600" t="s">
        <v>51</v>
      </c>
      <c r="I2600" t="s">
        <v>216</v>
      </c>
      <c r="J2600" t="s">
        <v>217</v>
      </c>
      <c r="K2600" t="s">
        <v>318</v>
      </c>
      <c r="M2600" s="1">
        <v>37684</v>
      </c>
      <c r="N2600">
        <v>2003</v>
      </c>
    </row>
    <row r="2601" spans="1:14">
      <c r="A2601" t="s">
        <v>14</v>
      </c>
      <c r="B2601" t="str">
        <f>"112007200300"</f>
        <v>112007200300</v>
      </c>
      <c r="C2601" t="s">
        <v>2694</v>
      </c>
      <c r="D2601" t="s">
        <v>53</v>
      </c>
      <c r="G2601" t="s">
        <v>17</v>
      </c>
      <c r="H2601" t="s">
        <v>51</v>
      </c>
      <c r="I2601" t="s">
        <v>216</v>
      </c>
      <c r="J2601" t="s">
        <v>217</v>
      </c>
      <c r="K2601" t="s">
        <v>543</v>
      </c>
      <c r="M2601" s="1">
        <v>37822</v>
      </c>
      <c r="N2601">
        <v>2003</v>
      </c>
    </row>
    <row r="2602" spans="1:14">
      <c r="A2602" t="s">
        <v>14</v>
      </c>
      <c r="B2602" t="str">
        <f>"111804200301"</f>
        <v>111804200301</v>
      </c>
      <c r="C2602" t="s">
        <v>2911</v>
      </c>
      <c r="D2602" t="s">
        <v>283</v>
      </c>
      <c r="G2602" t="s">
        <v>17</v>
      </c>
      <c r="H2602" t="s">
        <v>51</v>
      </c>
      <c r="I2602" t="s">
        <v>216</v>
      </c>
      <c r="J2602" t="s">
        <v>217</v>
      </c>
      <c r="K2602" t="s">
        <v>543</v>
      </c>
      <c r="L2602" t="s">
        <v>22</v>
      </c>
      <c r="M2602" s="1">
        <v>37729</v>
      </c>
      <c r="N2602">
        <v>2003</v>
      </c>
    </row>
    <row r="2603" spans="1:14">
      <c r="A2603" t="s">
        <v>14</v>
      </c>
      <c r="B2603" t="str">
        <f>"120304200400"</f>
        <v>120304200400</v>
      </c>
      <c r="C2603" t="s">
        <v>290</v>
      </c>
      <c r="D2603" t="s">
        <v>233</v>
      </c>
      <c r="G2603" t="s">
        <v>32</v>
      </c>
      <c r="H2603" t="s">
        <v>33</v>
      </c>
      <c r="I2603" t="s">
        <v>140</v>
      </c>
      <c r="J2603" t="s">
        <v>141</v>
      </c>
      <c r="K2603" t="s">
        <v>182</v>
      </c>
      <c r="L2603" t="s">
        <v>22</v>
      </c>
      <c r="M2603" s="1">
        <v>38080</v>
      </c>
      <c r="N2603">
        <v>2004</v>
      </c>
    </row>
    <row r="2604" spans="1:14">
      <c r="A2604" t="s">
        <v>14</v>
      </c>
      <c r="B2604" t="str">
        <f>"120911200400"</f>
        <v>120911200400</v>
      </c>
      <c r="C2604" t="s">
        <v>2292</v>
      </c>
      <c r="D2604" t="s">
        <v>184</v>
      </c>
      <c r="G2604" t="s">
        <v>32</v>
      </c>
      <c r="H2604" t="s">
        <v>33</v>
      </c>
      <c r="I2604" t="s">
        <v>140</v>
      </c>
      <c r="J2604" t="s">
        <v>141</v>
      </c>
      <c r="K2604" t="s">
        <v>873</v>
      </c>
      <c r="L2604" t="s">
        <v>22</v>
      </c>
      <c r="M2604" s="1">
        <v>38300</v>
      </c>
      <c r="N2604">
        <v>2004</v>
      </c>
    </row>
    <row r="2605" spans="1:14">
      <c r="A2605" t="s">
        <v>14</v>
      </c>
      <c r="B2605" t="str">
        <f>"121305200500"</f>
        <v>121305200500</v>
      </c>
      <c r="C2605" t="s">
        <v>2667</v>
      </c>
      <c r="D2605" t="s">
        <v>139</v>
      </c>
      <c r="G2605" t="s">
        <v>32</v>
      </c>
      <c r="H2605" t="s">
        <v>33</v>
      </c>
      <c r="I2605" t="s">
        <v>140</v>
      </c>
      <c r="J2605" t="s">
        <v>141</v>
      </c>
      <c r="K2605" t="s">
        <v>643</v>
      </c>
      <c r="L2605" t="s">
        <v>22</v>
      </c>
      <c r="M2605" s="1">
        <v>38485</v>
      </c>
      <c r="N2605">
        <v>2005</v>
      </c>
    </row>
    <row r="2606" spans="1:14">
      <c r="A2606" t="s">
        <v>14</v>
      </c>
      <c r="B2606" t="str">
        <f>"122407200202"</f>
        <v>122407200202</v>
      </c>
      <c r="C2606" t="s">
        <v>1218</v>
      </c>
      <c r="D2606" t="s">
        <v>205</v>
      </c>
      <c r="G2606" t="s">
        <v>32</v>
      </c>
      <c r="H2606" t="s">
        <v>65</v>
      </c>
      <c r="I2606" t="s">
        <v>140</v>
      </c>
      <c r="J2606" t="s">
        <v>141</v>
      </c>
      <c r="K2606" t="s">
        <v>182</v>
      </c>
      <c r="L2606" t="s">
        <v>22</v>
      </c>
      <c r="M2606" s="1">
        <v>37461</v>
      </c>
      <c r="N2606">
        <v>2002</v>
      </c>
    </row>
    <row r="2607" spans="1:14">
      <c r="A2607" t="s">
        <v>14</v>
      </c>
      <c r="B2607" t="str">
        <f>"122610199002"</f>
        <v>122610199002</v>
      </c>
      <c r="C2607" t="s">
        <v>138</v>
      </c>
      <c r="D2607" t="s">
        <v>139</v>
      </c>
      <c r="G2607" t="s">
        <v>32</v>
      </c>
      <c r="H2607" t="s">
        <v>59</v>
      </c>
      <c r="I2607" t="s">
        <v>140</v>
      </c>
      <c r="J2607" t="s">
        <v>141</v>
      </c>
      <c r="K2607" t="s">
        <v>142</v>
      </c>
      <c r="L2607" t="s">
        <v>29</v>
      </c>
      <c r="M2607" s="1">
        <v>33172</v>
      </c>
      <c r="N2607">
        <v>1990</v>
      </c>
    </row>
    <row r="2608" spans="1:14">
      <c r="A2608" t="s">
        <v>14</v>
      </c>
      <c r="B2608" t="str">
        <f>"120503199500"</f>
        <v>120503199500</v>
      </c>
      <c r="C2608" t="s">
        <v>405</v>
      </c>
      <c r="D2608" t="s">
        <v>406</v>
      </c>
      <c r="G2608" t="s">
        <v>32</v>
      </c>
      <c r="H2608" t="s">
        <v>59</v>
      </c>
      <c r="I2608" t="s">
        <v>140</v>
      </c>
      <c r="J2608" t="s">
        <v>141</v>
      </c>
      <c r="K2608" t="s">
        <v>182</v>
      </c>
      <c r="L2608" t="s">
        <v>63</v>
      </c>
      <c r="M2608" s="1">
        <v>34763</v>
      </c>
      <c r="N2608">
        <v>1995</v>
      </c>
    </row>
    <row r="2609" spans="1:14">
      <c r="A2609" t="s">
        <v>14</v>
      </c>
      <c r="B2609" t="str">
        <f>"120209199401"</f>
        <v>120209199401</v>
      </c>
      <c r="C2609" t="s">
        <v>871</v>
      </c>
      <c r="D2609" t="s">
        <v>127</v>
      </c>
      <c r="G2609" t="s">
        <v>32</v>
      </c>
      <c r="H2609" t="s">
        <v>59</v>
      </c>
      <c r="I2609" t="s">
        <v>140</v>
      </c>
      <c r="J2609" t="s">
        <v>141</v>
      </c>
      <c r="K2609" t="s">
        <v>873</v>
      </c>
      <c r="L2609" t="s">
        <v>22</v>
      </c>
      <c r="M2609" s="1">
        <v>34579</v>
      </c>
      <c r="N2609">
        <v>1994</v>
      </c>
    </row>
    <row r="2610" spans="1:14">
      <c r="A2610" t="s">
        <v>14</v>
      </c>
      <c r="B2610" t="str">
        <f>"120211199800"</f>
        <v>120211199800</v>
      </c>
      <c r="C2610" t="s">
        <v>1549</v>
      </c>
      <c r="D2610" t="s">
        <v>178</v>
      </c>
      <c r="G2610" t="s">
        <v>32</v>
      </c>
      <c r="H2610" t="s">
        <v>59</v>
      </c>
      <c r="I2610" t="s">
        <v>140</v>
      </c>
      <c r="J2610" t="s">
        <v>141</v>
      </c>
      <c r="K2610" t="s">
        <v>873</v>
      </c>
      <c r="L2610" t="s">
        <v>22</v>
      </c>
      <c r="M2610" s="1">
        <v>36101</v>
      </c>
      <c r="N2610">
        <v>1998</v>
      </c>
    </row>
    <row r="2611" spans="1:14">
      <c r="A2611" t="s">
        <v>14</v>
      </c>
      <c r="B2611" t="str">
        <f>"122603199700"</f>
        <v>122603199700</v>
      </c>
      <c r="C2611" t="s">
        <v>2425</v>
      </c>
      <c r="D2611" t="s">
        <v>551</v>
      </c>
      <c r="G2611" t="s">
        <v>32</v>
      </c>
      <c r="H2611" t="s">
        <v>59</v>
      </c>
      <c r="I2611" t="s">
        <v>140</v>
      </c>
      <c r="J2611" t="s">
        <v>141</v>
      </c>
      <c r="K2611" t="s">
        <v>182</v>
      </c>
      <c r="L2611" t="s">
        <v>63</v>
      </c>
      <c r="M2611" s="1">
        <v>35515</v>
      </c>
      <c r="N2611">
        <v>1997</v>
      </c>
    </row>
    <row r="2612" spans="1:14">
      <c r="A2612" t="s">
        <v>14</v>
      </c>
      <c r="B2612" t="str">
        <f>"120603199700"</f>
        <v>120603199700</v>
      </c>
      <c r="C2612" t="s">
        <v>2702</v>
      </c>
      <c r="D2612" t="s">
        <v>510</v>
      </c>
      <c r="G2612" t="s">
        <v>32</v>
      </c>
      <c r="H2612" t="s">
        <v>59</v>
      </c>
      <c r="I2612" t="s">
        <v>140</v>
      </c>
      <c r="J2612" t="s">
        <v>141</v>
      </c>
      <c r="K2612" t="s">
        <v>182</v>
      </c>
      <c r="L2612" t="s">
        <v>63</v>
      </c>
      <c r="M2612" s="1">
        <v>35495</v>
      </c>
      <c r="N2612">
        <v>1997</v>
      </c>
    </row>
    <row r="2613" spans="1:14">
      <c r="A2613" t="s">
        <v>14</v>
      </c>
      <c r="B2613" t="str">
        <f>"120401199900"</f>
        <v>120401199900</v>
      </c>
      <c r="C2613" t="s">
        <v>1033</v>
      </c>
      <c r="D2613" t="s">
        <v>541</v>
      </c>
      <c r="G2613" t="s">
        <v>32</v>
      </c>
      <c r="H2613" t="s">
        <v>44</v>
      </c>
      <c r="I2613" t="s">
        <v>140</v>
      </c>
      <c r="J2613" t="s">
        <v>141</v>
      </c>
      <c r="K2613" t="s">
        <v>182</v>
      </c>
      <c r="L2613" t="s">
        <v>22</v>
      </c>
      <c r="M2613" s="1">
        <v>36164</v>
      </c>
      <c r="N2613">
        <v>1999</v>
      </c>
    </row>
    <row r="2614" spans="1:14">
      <c r="A2614" t="s">
        <v>14</v>
      </c>
      <c r="B2614" t="str">
        <f>"121306200101"</f>
        <v>121306200101</v>
      </c>
      <c r="C2614" t="s">
        <v>1533</v>
      </c>
      <c r="D2614" t="s">
        <v>143</v>
      </c>
      <c r="G2614" t="s">
        <v>32</v>
      </c>
      <c r="H2614" t="s">
        <v>44</v>
      </c>
      <c r="I2614" t="s">
        <v>140</v>
      </c>
      <c r="J2614" t="s">
        <v>141</v>
      </c>
      <c r="K2614" t="s">
        <v>873</v>
      </c>
      <c r="L2614" t="s">
        <v>22</v>
      </c>
      <c r="M2614" s="1">
        <v>37055</v>
      </c>
      <c r="N2614">
        <v>2001</v>
      </c>
    </row>
    <row r="2615" spans="1:14">
      <c r="A2615" t="s">
        <v>14</v>
      </c>
      <c r="B2615" t="str">
        <f>"120503200100"</f>
        <v>120503200100</v>
      </c>
      <c r="C2615" t="s">
        <v>2545</v>
      </c>
      <c r="D2615" t="s">
        <v>198</v>
      </c>
      <c r="G2615" t="s">
        <v>32</v>
      </c>
      <c r="H2615" t="s">
        <v>44</v>
      </c>
      <c r="I2615" t="s">
        <v>140</v>
      </c>
      <c r="J2615" t="s">
        <v>141</v>
      </c>
      <c r="K2615" t="s">
        <v>873</v>
      </c>
      <c r="L2615" t="s">
        <v>22</v>
      </c>
      <c r="M2615" s="1">
        <v>36955</v>
      </c>
      <c r="N2615">
        <v>2001</v>
      </c>
    </row>
    <row r="2616" spans="1:14">
      <c r="A2616" t="s">
        <v>14</v>
      </c>
      <c r="B2616" t="str">
        <f>"120205199900"</f>
        <v>120205199900</v>
      </c>
      <c r="C2616" t="s">
        <v>2639</v>
      </c>
      <c r="D2616" t="s">
        <v>64</v>
      </c>
      <c r="G2616" t="s">
        <v>32</v>
      </c>
      <c r="H2616" t="s">
        <v>44</v>
      </c>
      <c r="I2616" t="s">
        <v>140</v>
      </c>
      <c r="J2616" t="s">
        <v>141</v>
      </c>
      <c r="K2616" t="s">
        <v>182</v>
      </c>
      <c r="L2616" t="s">
        <v>22</v>
      </c>
      <c r="M2616" s="1">
        <v>36282</v>
      </c>
      <c r="N2616">
        <v>1999</v>
      </c>
    </row>
    <row r="2617" spans="1:14">
      <c r="A2617" t="s">
        <v>14</v>
      </c>
      <c r="B2617" t="str">
        <f>"123108199900"</f>
        <v>123108199900</v>
      </c>
      <c r="C2617" t="s">
        <v>2661</v>
      </c>
      <c r="D2617" t="s">
        <v>127</v>
      </c>
      <c r="G2617" t="s">
        <v>32</v>
      </c>
      <c r="H2617" t="s">
        <v>44</v>
      </c>
      <c r="I2617" t="s">
        <v>140</v>
      </c>
      <c r="J2617" t="s">
        <v>141</v>
      </c>
      <c r="K2617" t="s">
        <v>182</v>
      </c>
      <c r="M2617" s="1">
        <v>36403</v>
      </c>
      <c r="N2617">
        <v>1999</v>
      </c>
    </row>
    <row r="2618" spans="1:14">
      <c r="A2618" t="s">
        <v>14</v>
      </c>
      <c r="B2618" t="str">
        <f>"121909199901"</f>
        <v>121909199901</v>
      </c>
      <c r="C2618" t="s">
        <v>2926</v>
      </c>
      <c r="D2618" t="s">
        <v>188</v>
      </c>
      <c r="G2618" t="s">
        <v>32</v>
      </c>
      <c r="H2618" t="s">
        <v>44</v>
      </c>
      <c r="I2618" t="s">
        <v>140</v>
      </c>
      <c r="J2618" t="s">
        <v>141</v>
      </c>
      <c r="K2618" t="s">
        <v>182</v>
      </c>
      <c r="L2618" t="s">
        <v>22</v>
      </c>
      <c r="M2618" s="1">
        <v>36422</v>
      </c>
      <c r="N2618">
        <v>1999</v>
      </c>
    </row>
    <row r="2619" spans="1:14">
      <c r="A2619" t="s">
        <v>14</v>
      </c>
      <c r="B2619" t="str">
        <f>"112504199800"</f>
        <v>112504199800</v>
      </c>
      <c r="C2619" t="s">
        <v>257</v>
      </c>
      <c r="D2619" t="s">
        <v>258</v>
      </c>
      <c r="G2619" t="s">
        <v>17</v>
      </c>
      <c r="H2619" t="s">
        <v>25</v>
      </c>
      <c r="I2619" t="s">
        <v>140</v>
      </c>
      <c r="J2619" t="s">
        <v>141</v>
      </c>
      <c r="K2619" t="s">
        <v>182</v>
      </c>
      <c r="L2619" t="s">
        <v>22</v>
      </c>
      <c r="M2619" s="1">
        <v>35910</v>
      </c>
      <c r="N2619">
        <v>1998</v>
      </c>
    </row>
    <row r="2620" spans="1:14">
      <c r="A2620" t="s">
        <v>14</v>
      </c>
      <c r="B2620" t="str">
        <f>"111204199600"</f>
        <v>111204199600</v>
      </c>
      <c r="C2620" t="s">
        <v>1202</v>
      </c>
      <c r="D2620" t="s">
        <v>115</v>
      </c>
      <c r="G2620" t="s">
        <v>17</v>
      </c>
      <c r="H2620" t="s">
        <v>25</v>
      </c>
      <c r="I2620" t="s">
        <v>140</v>
      </c>
      <c r="J2620" t="s">
        <v>141</v>
      </c>
      <c r="K2620" t="s">
        <v>182</v>
      </c>
      <c r="L2620" t="s">
        <v>48</v>
      </c>
      <c r="M2620" s="1">
        <v>35167</v>
      </c>
      <c r="N2620">
        <v>1996</v>
      </c>
    </row>
    <row r="2621" spans="1:14">
      <c r="A2621" t="s">
        <v>14</v>
      </c>
      <c r="B2621" t="str">
        <f>"110806199802"</f>
        <v>110806199802</v>
      </c>
      <c r="C2621" t="s">
        <v>1435</v>
      </c>
      <c r="D2621" t="s">
        <v>917</v>
      </c>
      <c r="G2621" t="s">
        <v>17</v>
      </c>
      <c r="H2621" t="s">
        <v>25</v>
      </c>
      <c r="I2621" t="s">
        <v>140</v>
      </c>
      <c r="J2621" t="s">
        <v>141</v>
      </c>
      <c r="K2621" t="s">
        <v>182</v>
      </c>
      <c r="L2621" t="s">
        <v>22</v>
      </c>
      <c r="M2621" s="1">
        <v>35954</v>
      </c>
      <c r="N2621">
        <v>1998</v>
      </c>
    </row>
    <row r="2622" spans="1:14">
      <c r="A2622" t="s">
        <v>14</v>
      </c>
      <c r="B2622" t="str">
        <f>"110907199600"</f>
        <v>110907199600</v>
      </c>
      <c r="C2622" t="s">
        <v>1987</v>
      </c>
      <c r="D2622" t="s">
        <v>403</v>
      </c>
      <c r="G2622" t="s">
        <v>17</v>
      </c>
      <c r="H2622" t="s">
        <v>25</v>
      </c>
      <c r="I2622" t="s">
        <v>140</v>
      </c>
      <c r="J2622" t="s">
        <v>141</v>
      </c>
      <c r="K2622" t="s">
        <v>182</v>
      </c>
      <c r="L2622" t="s">
        <v>22</v>
      </c>
      <c r="M2622" s="1">
        <v>35255</v>
      </c>
      <c r="N2622">
        <v>1996</v>
      </c>
    </row>
    <row r="2623" spans="1:14">
      <c r="A2623" t="s">
        <v>14</v>
      </c>
      <c r="B2623" t="str">
        <f>"111907199700"</f>
        <v>111907199700</v>
      </c>
      <c r="C2623" t="s">
        <v>2058</v>
      </c>
      <c r="D2623" t="s">
        <v>129</v>
      </c>
      <c r="G2623" t="s">
        <v>17</v>
      </c>
      <c r="H2623" t="s">
        <v>25</v>
      </c>
      <c r="I2623" t="s">
        <v>140</v>
      </c>
      <c r="J2623" t="s">
        <v>141</v>
      </c>
      <c r="K2623" t="s">
        <v>873</v>
      </c>
      <c r="L2623" t="s">
        <v>22</v>
      </c>
      <c r="M2623" s="1">
        <v>35630</v>
      </c>
      <c r="N2623">
        <v>1997</v>
      </c>
    </row>
    <row r="2624" spans="1:14">
      <c r="A2624" t="s">
        <v>14</v>
      </c>
      <c r="B2624" t="str">
        <f>"112110199700"</f>
        <v>112110199700</v>
      </c>
      <c r="C2624" t="s">
        <v>2087</v>
      </c>
      <c r="D2624" t="s">
        <v>209</v>
      </c>
      <c r="G2624" t="s">
        <v>17</v>
      </c>
      <c r="H2624" t="s">
        <v>25</v>
      </c>
      <c r="I2624" t="s">
        <v>140</v>
      </c>
      <c r="J2624" t="s">
        <v>141</v>
      </c>
      <c r="K2624" t="s">
        <v>182</v>
      </c>
      <c r="L2624" t="s">
        <v>22</v>
      </c>
      <c r="M2624" s="1">
        <v>35724</v>
      </c>
      <c r="N2624">
        <v>1997</v>
      </c>
    </row>
    <row r="2625" spans="1:14">
      <c r="A2625" t="s">
        <v>14</v>
      </c>
      <c r="B2625" t="str">
        <f>"111204199602"</f>
        <v>111204199602</v>
      </c>
      <c r="C2625" t="s">
        <v>2410</v>
      </c>
      <c r="D2625" t="s">
        <v>53</v>
      </c>
      <c r="G2625" t="s">
        <v>17</v>
      </c>
      <c r="H2625" t="s">
        <v>25</v>
      </c>
      <c r="I2625" t="s">
        <v>140</v>
      </c>
      <c r="J2625" t="s">
        <v>141</v>
      </c>
      <c r="K2625" t="s">
        <v>182</v>
      </c>
      <c r="L2625" t="s">
        <v>22</v>
      </c>
      <c r="M2625" s="1">
        <v>35167</v>
      </c>
      <c r="N2625">
        <v>1996</v>
      </c>
    </row>
    <row r="2626" spans="1:14">
      <c r="A2626" t="s">
        <v>14</v>
      </c>
      <c r="B2626" t="str">
        <f>"111311200000"</f>
        <v>111311200000</v>
      </c>
      <c r="C2626" t="s">
        <v>180</v>
      </c>
      <c r="D2626" t="s">
        <v>181</v>
      </c>
      <c r="G2626" t="s">
        <v>17</v>
      </c>
      <c r="H2626" t="s">
        <v>18</v>
      </c>
      <c r="I2626" t="s">
        <v>140</v>
      </c>
      <c r="J2626" t="s">
        <v>141</v>
      </c>
      <c r="K2626" t="s">
        <v>182</v>
      </c>
      <c r="L2626" t="s">
        <v>22</v>
      </c>
      <c r="M2626" s="1">
        <v>36843</v>
      </c>
      <c r="N2626">
        <v>2000</v>
      </c>
    </row>
    <row r="2627" spans="1:14">
      <c r="A2627" t="s">
        <v>14</v>
      </c>
      <c r="B2627" t="str">
        <f>"110307199900"</f>
        <v>110307199900</v>
      </c>
      <c r="C2627" t="s">
        <v>192</v>
      </c>
      <c r="D2627" t="s">
        <v>181</v>
      </c>
      <c r="G2627" t="s">
        <v>17</v>
      </c>
      <c r="H2627" t="s">
        <v>18</v>
      </c>
      <c r="I2627" t="s">
        <v>140</v>
      </c>
      <c r="J2627" t="s">
        <v>141</v>
      </c>
      <c r="K2627" t="s">
        <v>182</v>
      </c>
      <c r="L2627" t="s">
        <v>63</v>
      </c>
      <c r="M2627" s="1">
        <v>36344</v>
      </c>
      <c r="N2627">
        <v>1999</v>
      </c>
    </row>
    <row r="2628" spans="1:14">
      <c r="A2628" t="s">
        <v>14</v>
      </c>
      <c r="B2628" t="str">
        <f>"110506200101"</f>
        <v>110506200101</v>
      </c>
      <c r="C2628" t="s">
        <v>255</v>
      </c>
      <c r="D2628" t="s">
        <v>70</v>
      </c>
      <c r="G2628" t="s">
        <v>17</v>
      </c>
      <c r="H2628" t="s">
        <v>18</v>
      </c>
      <c r="I2628" t="s">
        <v>140</v>
      </c>
      <c r="J2628" t="s">
        <v>141</v>
      </c>
      <c r="K2628" t="s">
        <v>182</v>
      </c>
      <c r="L2628" t="s">
        <v>22</v>
      </c>
      <c r="M2628" s="1">
        <v>37047</v>
      </c>
      <c r="N2628">
        <v>2001</v>
      </c>
    </row>
    <row r="2629" spans="1:14">
      <c r="A2629" t="s">
        <v>14</v>
      </c>
      <c r="B2629" t="str">
        <f>"110711200000"</f>
        <v>110711200000</v>
      </c>
      <c r="C2629" t="s">
        <v>642</v>
      </c>
      <c r="D2629" t="s">
        <v>283</v>
      </c>
      <c r="G2629" t="s">
        <v>17</v>
      </c>
      <c r="H2629" t="s">
        <v>18</v>
      </c>
      <c r="I2629" t="s">
        <v>140</v>
      </c>
      <c r="J2629" t="s">
        <v>141</v>
      </c>
      <c r="K2629" t="s">
        <v>643</v>
      </c>
      <c r="L2629" t="s">
        <v>22</v>
      </c>
      <c r="M2629" s="1">
        <v>36837</v>
      </c>
      <c r="N2629">
        <v>2000</v>
      </c>
    </row>
    <row r="2630" spans="1:14">
      <c r="A2630" t="s">
        <v>14</v>
      </c>
      <c r="B2630" t="str">
        <f>"112709200103"</f>
        <v>112709200103</v>
      </c>
      <c r="C2630" t="s">
        <v>861</v>
      </c>
      <c r="D2630" t="s">
        <v>129</v>
      </c>
      <c r="G2630" t="s">
        <v>17</v>
      </c>
      <c r="H2630" t="s">
        <v>18</v>
      </c>
      <c r="I2630" t="s">
        <v>140</v>
      </c>
      <c r="J2630" t="s">
        <v>141</v>
      </c>
      <c r="K2630" t="s">
        <v>182</v>
      </c>
      <c r="L2630" t="s">
        <v>63</v>
      </c>
      <c r="M2630" s="1">
        <v>37161</v>
      </c>
      <c r="N2630">
        <v>2001</v>
      </c>
    </row>
    <row r="2631" spans="1:14">
      <c r="A2631" t="s">
        <v>14</v>
      </c>
      <c r="B2631" t="str">
        <f>"111809199900"</f>
        <v>111809199900</v>
      </c>
      <c r="C2631" t="s">
        <v>1074</v>
      </c>
      <c r="D2631" t="s">
        <v>70</v>
      </c>
      <c r="G2631" t="s">
        <v>17</v>
      </c>
      <c r="H2631" t="s">
        <v>18</v>
      </c>
      <c r="I2631" t="s">
        <v>140</v>
      </c>
      <c r="J2631" t="s">
        <v>141</v>
      </c>
      <c r="K2631" t="s">
        <v>182</v>
      </c>
      <c r="L2631" t="s">
        <v>22</v>
      </c>
      <c r="M2631" s="1">
        <v>36421</v>
      </c>
      <c r="N2631">
        <v>1999</v>
      </c>
    </row>
    <row r="2632" spans="1:14">
      <c r="A2632" t="s">
        <v>14</v>
      </c>
      <c r="B2632" t="str">
        <f>"110111199901"</f>
        <v>110111199901</v>
      </c>
      <c r="C2632" t="s">
        <v>1435</v>
      </c>
      <c r="D2632" t="s">
        <v>617</v>
      </c>
      <c r="G2632" t="s">
        <v>17</v>
      </c>
      <c r="H2632" t="s">
        <v>18</v>
      </c>
      <c r="I2632" t="s">
        <v>140</v>
      </c>
      <c r="J2632" t="s">
        <v>141</v>
      </c>
      <c r="K2632" t="s">
        <v>182</v>
      </c>
      <c r="L2632" t="s">
        <v>22</v>
      </c>
      <c r="M2632" s="1">
        <v>36465</v>
      </c>
      <c r="N2632">
        <v>1999</v>
      </c>
    </row>
    <row r="2633" spans="1:14">
      <c r="A2633" t="s">
        <v>14</v>
      </c>
      <c r="B2633" t="str">
        <f>"111609200000"</f>
        <v>111609200000</v>
      </c>
      <c r="C2633" t="s">
        <v>1771</v>
      </c>
      <c r="D2633" t="s">
        <v>181</v>
      </c>
      <c r="G2633" t="s">
        <v>17</v>
      </c>
      <c r="H2633" t="s">
        <v>18</v>
      </c>
      <c r="I2633" t="s">
        <v>140</v>
      </c>
      <c r="J2633" t="s">
        <v>141</v>
      </c>
      <c r="K2633" t="s">
        <v>643</v>
      </c>
      <c r="M2633" s="1">
        <v>36785</v>
      </c>
      <c r="N2633">
        <v>2000</v>
      </c>
    </row>
    <row r="2634" spans="1:14">
      <c r="A2634" t="s">
        <v>14</v>
      </c>
      <c r="B2634" t="str">
        <f>"111710200000"</f>
        <v>111710200000</v>
      </c>
      <c r="C2634" t="s">
        <v>1951</v>
      </c>
      <c r="D2634" t="s">
        <v>373</v>
      </c>
      <c r="G2634" t="s">
        <v>17</v>
      </c>
      <c r="H2634" t="s">
        <v>18</v>
      </c>
      <c r="I2634" t="s">
        <v>140</v>
      </c>
      <c r="J2634" t="s">
        <v>141</v>
      </c>
      <c r="K2634" t="s">
        <v>182</v>
      </c>
      <c r="L2634" t="s">
        <v>22</v>
      </c>
      <c r="M2634" s="1">
        <v>36816</v>
      </c>
      <c r="N2634">
        <v>2000</v>
      </c>
    </row>
    <row r="2635" spans="1:14">
      <c r="A2635" t="s">
        <v>14</v>
      </c>
      <c r="B2635" t="str">
        <f>"110712200102"</f>
        <v>110712200102</v>
      </c>
      <c r="C2635" t="s">
        <v>2058</v>
      </c>
      <c r="D2635" t="s">
        <v>136</v>
      </c>
      <c r="G2635" t="s">
        <v>17</v>
      </c>
      <c r="H2635" t="s">
        <v>18</v>
      </c>
      <c r="I2635" t="s">
        <v>140</v>
      </c>
      <c r="J2635" t="s">
        <v>141</v>
      </c>
      <c r="K2635" t="s">
        <v>182</v>
      </c>
      <c r="L2635" t="s">
        <v>22</v>
      </c>
      <c r="M2635" s="1">
        <v>37232</v>
      </c>
      <c r="N2635">
        <v>2001</v>
      </c>
    </row>
    <row r="2636" spans="1:14">
      <c r="A2636" t="s">
        <v>14</v>
      </c>
      <c r="B2636" t="str">
        <f>"111004199901"</f>
        <v>111004199901</v>
      </c>
      <c r="C2636" t="s">
        <v>2087</v>
      </c>
      <c r="D2636" t="s">
        <v>920</v>
      </c>
      <c r="G2636" t="s">
        <v>17</v>
      </c>
      <c r="H2636" t="s">
        <v>18</v>
      </c>
      <c r="I2636" t="s">
        <v>140</v>
      </c>
      <c r="J2636" t="s">
        <v>141</v>
      </c>
      <c r="K2636" t="s">
        <v>182</v>
      </c>
      <c r="L2636" t="s">
        <v>22</v>
      </c>
      <c r="M2636" s="1">
        <v>36260</v>
      </c>
      <c r="N2636">
        <v>1999</v>
      </c>
    </row>
    <row r="2637" spans="1:14">
      <c r="A2637" t="s">
        <v>14</v>
      </c>
      <c r="B2637" t="str">
        <f>"112612200100"</f>
        <v>112612200100</v>
      </c>
      <c r="C2637" t="s">
        <v>2257</v>
      </c>
      <c r="D2637" t="s">
        <v>268</v>
      </c>
      <c r="G2637" t="s">
        <v>17</v>
      </c>
      <c r="H2637" t="s">
        <v>18</v>
      </c>
      <c r="I2637" t="s">
        <v>140</v>
      </c>
      <c r="J2637" t="s">
        <v>141</v>
      </c>
      <c r="K2637" t="s">
        <v>182</v>
      </c>
      <c r="L2637" t="s">
        <v>63</v>
      </c>
      <c r="M2637" s="1">
        <v>37251</v>
      </c>
      <c r="N2637">
        <v>2001</v>
      </c>
    </row>
    <row r="2638" spans="1:14">
      <c r="A2638" t="s">
        <v>14</v>
      </c>
      <c r="B2638" t="str">
        <f>"110204200003"</f>
        <v>110204200003</v>
      </c>
      <c r="C2638" t="s">
        <v>2399</v>
      </c>
      <c r="D2638" t="s">
        <v>129</v>
      </c>
      <c r="G2638" t="s">
        <v>17</v>
      </c>
      <c r="H2638" t="s">
        <v>18</v>
      </c>
      <c r="I2638" t="s">
        <v>140</v>
      </c>
      <c r="J2638" t="s">
        <v>141</v>
      </c>
      <c r="K2638" t="s">
        <v>182</v>
      </c>
      <c r="L2638" t="s">
        <v>63</v>
      </c>
      <c r="M2638" s="1">
        <v>36618</v>
      </c>
      <c r="N2638">
        <v>2000</v>
      </c>
    </row>
    <row r="2639" spans="1:14">
      <c r="A2639" t="s">
        <v>14</v>
      </c>
      <c r="B2639" t="str">
        <f>"112507200100"</f>
        <v>112507200100</v>
      </c>
      <c r="C2639" t="s">
        <v>2453</v>
      </c>
      <c r="D2639" t="s">
        <v>53</v>
      </c>
      <c r="G2639" t="s">
        <v>17</v>
      </c>
      <c r="H2639" t="s">
        <v>18</v>
      </c>
      <c r="I2639" t="s">
        <v>140</v>
      </c>
      <c r="J2639" t="s">
        <v>141</v>
      </c>
      <c r="K2639" t="s">
        <v>182</v>
      </c>
      <c r="L2639" t="s">
        <v>63</v>
      </c>
      <c r="M2639" s="1">
        <v>37097</v>
      </c>
      <c r="N2639">
        <v>2001</v>
      </c>
    </row>
    <row r="2640" spans="1:14">
      <c r="A2640" t="s">
        <v>14</v>
      </c>
      <c r="B2640" t="str">
        <f>"110306199900"</f>
        <v>110306199900</v>
      </c>
      <c r="C2640" t="s">
        <v>2538</v>
      </c>
      <c r="D2640" t="s">
        <v>89</v>
      </c>
      <c r="G2640" t="s">
        <v>17</v>
      </c>
      <c r="H2640" t="s">
        <v>18</v>
      </c>
      <c r="I2640" t="s">
        <v>140</v>
      </c>
      <c r="J2640" t="s">
        <v>141</v>
      </c>
      <c r="K2640" t="s">
        <v>873</v>
      </c>
      <c r="L2640" t="s">
        <v>22</v>
      </c>
      <c r="M2640" s="1">
        <v>36314</v>
      </c>
      <c r="N2640">
        <v>1999</v>
      </c>
    </row>
    <row r="2641" spans="1:14">
      <c r="A2641" t="s">
        <v>14</v>
      </c>
      <c r="B2641" t="str">
        <f>"112908199902"</f>
        <v>112908199902</v>
      </c>
      <c r="C2641" t="s">
        <v>2573</v>
      </c>
      <c r="D2641" t="s">
        <v>98</v>
      </c>
      <c r="G2641" t="s">
        <v>17</v>
      </c>
      <c r="H2641" t="s">
        <v>18</v>
      </c>
      <c r="I2641" t="s">
        <v>140</v>
      </c>
      <c r="J2641" t="s">
        <v>141</v>
      </c>
      <c r="K2641" t="s">
        <v>182</v>
      </c>
      <c r="L2641" t="s">
        <v>22</v>
      </c>
      <c r="M2641" s="1">
        <v>36401</v>
      </c>
      <c r="N2641">
        <v>1999</v>
      </c>
    </row>
    <row r="2642" spans="1:14">
      <c r="A2642" t="s">
        <v>14</v>
      </c>
      <c r="B2642" t="str">
        <f>"112404200101"</f>
        <v>112404200101</v>
      </c>
      <c r="C2642" t="s">
        <v>2602</v>
      </c>
      <c r="D2642" t="s">
        <v>292</v>
      </c>
      <c r="G2642" t="s">
        <v>17</v>
      </c>
      <c r="H2642" t="s">
        <v>18</v>
      </c>
      <c r="I2642" t="s">
        <v>140</v>
      </c>
      <c r="J2642" t="s">
        <v>141</v>
      </c>
      <c r="K2642" t="s">
        <v>182</v>
      </c>
      <c r="M2642" s="1">
        <v>37005</v>
      </c>
      <c r="N2642">
        <v>2001</v>
      </c>
    </row>
    <row r="2643" spans="1:14">
      <c r="A2643" t="s">
        <v>14</v>
      </c>
      <c r="B2643" t="str">
        <f>"112803200001"</f>
        <v>112803200001</v>
      </c>
      <c r="C2643" t="s">
        <v>2638</v>
      </c>
      <c r="D2643" t="s">
        <v>115</v>
      </c>
      <c r="G2643" t="s">
        <v>17</v>
      </c>
      <c r="H2643" t="s">
        <v>18</v>
      </c>
      <c r="I2643" t="s">
        <v>140</v>
      </c>
      <c r="J2643" t="s">
        <v>141</v>
      </c>
      <c r="K2643" t="s">
        <v>182</v>
      </c>
      <c r="L2643" t="s">
        <v>22</v>
      </c>
      <c r="M2643" s="1">
        <v>36613</v>
      </c>
      <c r="N2643">
        <v>2000</v>
      </c>
    </row>
    <row r="2644" spans="1:14">
      <c r="A2644" t="s">
        <v>14</v>
      </c>
      <c r="B2644" t="str">
        <f>"111007200600"</f>
        <v>111007200600</v>
      </c>
      <c r="C2644" t="s">
        <v>2924</v>
      </c>
      <c r="D2644" t="s">
        <v>283</v>
      </c>
      <c r="G2644" t="s">
        <v>17</v>
      </c>
      <c r="H2644" t="s">
        <v>2925</v>
      </c>
      <c r="I2644" t="s">
        <v>140</v>
      </c>
      <c r="J2644" t="s">
        <v>141</v>
      </c>
      <c r="K2644" t="s">
        <v>643</v>
      </c>
      <c r="L2644" t="s">
        <v>22</v>
      </c>
      <c r="M2644" s="1">
        <v>38908</v>
      </c>
      <c r="N2644">
        <v>2006</v>
      </c>
    </row>
    <row r="2645" spans="1:14">
      <c r="A2645" t="s">
        <v>14</v>
      </c>
      <c r="B2645" t="str">
        <f>"111301200403"</f>
        <v>111301200403</v>
      </c>
      <c r="C2645" t="s">
        <v>1032</v>
      </c>
      <c r="D2645" t="s">
        <v>100</v>
      </c>
      <c r="G2645" t="s">
        <v>17</v>
      </c>
      <c r="H2645" t="s">
        <v>39</v>
      </c>
      <c r="I2645" t="s">
        <v>140</v>
      </c>
      <c r="J2645" t="s">
        <v>141</v>
      </c>
      <c r="K2645" t="s">
        <v>643</v>
      </c>
      <c r="M2645" s="1">
        <v>37999</v>
      </c>
      <c r="N2645">
        <v>2004</v>
      </c>
    </row>
    <row r="2646" spans="1:14">
      <c r="A2646" t="s">
        <v>14</v>
      </c>
      <c r="B2646" t="str">
        <f>"112211200401"</f>
        <v>112211200401</v>
      </c>
      <c r="C2646" t="s">
        <v>1851</v>
      </c>
      <c r="D2646" t="s">
        <v>283</v>
      </c>
      <c r="G2646" t="s">
        <v>17</v>
      </c>
      <c r="H2646" t="s">
        <v>39</v>
      </c>
      <c r="I2646" t="s">
        <v>140</v>
      </c>
      <c r="J2646" t="s">
        <v>141</v>
      </c>
      <c r="K2646" t="s">
        <v>643</v>
      </c>
      <c r="M2646" s="1">
        <v>38313</v>
      </c>
      <c r="N2646">
        <v>2004</v>
      </c>
    </row>
    <row r="2647" spans="1:14">
      <c r="A2647" t="s">
        <v>14</v>
      </c>
      <c r="B2647" t="str">
        <f>"111204200501"</f>
        <v>111204200501</v>
      </c>
      <c r="C2647" t="s">
        <v>1893</v>
      </c>
      <c r="D2647" t="s">
        <v>100</v>
      </c>
      <c r="G2647" t="s">
        <v>17</v>
      </c>
      <c r="H2647" t="s">
        <v>39</v>
      </c>
      <c r="I2647" t="s">
        <v>140</v>
      </c>
      <c r="J2647" t="s">
        <v>141</v>
      </c>
      <c r="K2647" t="s">
        <v>643</v>
      </c>
      <c r="L2647" t="s">
        <v>22</v>
      </c>
      <c r="M2647" s="1">
        <v>38454</v>
      </c>
      <c r="N2647">
        <v>2005</v>
      </c>
    </row>
    <row r="2648" spans="1:14">
      <c r="A2648" t="s">
        <v>14</v>
      </c>
      <c r="B2648" t="str">
        <f>"112507200204"</f>
        <v>112507200204</v>
      </c>
      <c r="C2648" t="s">
        <v>972</v>
      </c>
      <c r="D2648" t="s">
        <v>129</v>
      </c>
      <c r="G2648" t="s">
        <v>17</v>
      </c>
      <c r="H2648" t="s">
        <v>51</v>
      </c>
      <c r="I2648" t="s">
        <v>140</v>
      </c>
      <c r="J2648" t="s">
        <v>141</v>
      </c>
      <c r="K2648" t="s">
        <v>182</v>
      </c>
      <c r="L2648" t="s">
        <v>22</v>
      </c>
      <c r="M2648" s="1">
        <v>37462</v>
      </c>
      <c r="N2648">
        <v>2002</v>
      </c>
    </row>
    <row r="2649" spans="1:14">
      <c r="A2649" t="s">
        <v>14</v>
      </c>
      <c r="B2649" t="str">
        <f>"112507200203"</f>
        <v>112507200203</v>
      </c>
      <c r="C2649" t="s">
        <v>1202</v>
      </c>
      <c r="D2649" t="s">
        <v>100</v>
      </c>
      <c r="G2649" t="s">
        <v>17</v>
      </c>
      <c r="H2649" t="s">
        <v>51</v>
      </c>
      <c r="I2649" t="s">
        <v>140</v>
      </c>
      <c r="J2649" t="s">
        <v>141</v>
      </c>
      <c r="K2649" t="s">
        <v>873</v>
      </c>
      <c r="L2649" t="s">
        <v>22</v>
      </c>
      <c r="M2649" s="1">
        <v>37462</v>
      </c>
      <c r="N2649">
        <v>2002</v>
      </c>
    </row>
    <row r="2650" spans="1:14">
      <c r="A2650" t="s">
        <v>14</v>
      </c>
      <c r="B2650" t="str">
        <f>"111912200200"</f>
        <v>111912200200</v>
      </c>
      <c r="C2650" t="s">
        <v>1532</v>
      </c>
      <c r="D2650" t="s">
        <v>259</v>
      </c>
      <c r="G2650" t="s">
        <v>17</v>
      </c>
      <c r="H2650" t="s">
        <v>51</v>
      </c>
      <c r="I2650" t="s">
        <v>140</v>
      </c>
      <c r="J2650" t="s">
        <v>141</v>
      </c>
      <c r="K2650" t="s">
        <v>182</v>
      </c>
      <c r="M2650" s="1">
        <v>37609</v>
      </c>
      <c r="N2650">
        <v>2002</v>
      </c>
    </row>
    <row r="2651" spans="1:14">
      <c r="A2651" t="s">
        <v>14</v>
      </c>
      <c r="B2651" t="str">
        <f>"112205200300"</f>
        <v>112205200300</v>
      </c>
      <c r="C2651" t="s">
        <v>1654</v>
      </c>
      <c r="D2651" t="s">
        <v>89</v>
      </c>
      <c r="G2651" t="s">
        <v>17</v>
      </c>
      <c r="H2651" t="s">
        <v>51</v>
      </c>
      <c r="I2651" t="s">
        <v>140</v>
      </c>
      <c r="J2651" t="s">
        <v>141</v>
      </c>
      <c r="K2651" t="s">
        <v>643</v>
      </c>
      <c r="L2651" t="s">
        <v>22</v>
      </c>
      <c r="M2651" s="1">
        <v>37763</v>
      </c>
      <c r="N2651">
        <v>2003</v>
      </c>
    </row>
    <row r="2652" spans="1:14">
      <c r="A2652" t="s">
        <v>14</v>
      </c>
      <c r="B2652" t="str">
        <f>"112707200200"</f>
        <v>112707200200</v>
      </c>
      <c r="C2652" t="s">
        <v>1662</v>
      </c>
      <c r="D2652" t="s">
        <v>89</v>
      </c>
      <c r="G2652" t="s">
        <v>17</v>
      </c>
      <c r="H2652" t="s">
        <v>51</v>
      </c>
      <c r="I2652" t="s">
        <v>140</v>
      </c>
      <c r="J2652" t="s">
        <v>141</v>
      </c>
      <c r="K2652" t="s">
        <v>873</v>
      </c>
      <c r="L2652" t="s">
        <v>22</v>
      </c>
      <c r="M2652" s="1">
        <v>37464</v>
      </c>
      <c r="N2652">
        <v>2002</v>
      </c>
    </row>
    <row r="2653" spans="1:14">
      <c r="A2653" t="s">
        <v>14</v>
      </c>
      <c r="B2653" t="str">
        <f>"110406200200"</f>
        <v>110406200200</v>
      </c>
      <c r="C2653" t="s">
        <v>2231</v>
      </c>
      <c r="D2653" t="s">
        <v>155</v>
      </c>
      <c r="G2653" t="s">
        <v>17</v>
      </c>
      <c r="H2653" t="s">
        <v>51</v>
      </c>
      <c r="I2653" t="s">
        <v>140</v>
      </c>
      <c r="J2653" t="s">
        <v>141</v>
      </c>
      <c r="K2653" t="s">
        <v>182</v>
      </c>
      <c r="L2653" t="s">
        <v>22</v>
      </c>
      <c r="M2653" s="1">
        <v>37411</v>
      </c>
      <c r="N2653">
        <v>2002</v>
      </c>
    </row>
    <row r="2654" spans="1:14">
      <c r="A2654" t="s">
        <v>14</v>
      </c>
      <c r="B2654" t="str">
        <f>"110107200201"</f>
        <v>110107200201</v>
      </c>
      <c r="C2654" t="s">
        <v>2924</v>
      </c>
      <c r="D2654" t="s">
        <v>24</v>
      </c>
      <c r="G2654" t="s">
        <v>17</v>
      </c>
      <c r="H2654" t="s">
        <v>51</v>
      </c>
      <c r="I2654" t="s">
        <v>140</v>
      </c>
      <c r="J2654" t="s">
        <v>141</v>
      </c>
      <c r="K2654" t="s">
        <v>182</v>
      </c>
      <c r="L2654" t="s">
        <v>22</v>
      </c>
      <c r="M2654" s="1">
        <v>37438</v>
      </c>
      <c r="N2654">
        <v>2002</v>
      </c>
    </row>
    <row r="2655" spans="1:14">
      <c r="A2655" t="s">
        <v>14</v>
      </c>
      <c r="B2655" t="str">
        <f>"110106198900"</f>
        <v>110106198900</v>
      </c>
      <c r="C2655" t="s">
        <v>2112</v>
      </c>
      <c r="D2655" t="s">
        <v>16</v>
      </c>
      <c r="G2655" t="s">
        <v>17</v>
      </c>
      <c r="H2655" t="s">
        <v>25</v>
      </c>
      <c r="I2655" t="s">
        <v>2113</v>
      </c>
      <c r="J2655" t="s">
        <v>141</v>
      </c>
      <c r="K2655" t="s">
        <v>2114</v>
      </c>
      <c r="L2655" t="s">
        <v>48</v>
      </c>
      <c r="M2655" s="1">
        <v>32660</v>
      </c>
      <c r="N2655">
        <v>1989</v>
      </c>
    </row>
    <row r="2656" spans="1:14">
      <c r="A2656" t="s">
        <v>14</v>
      </c>
      <c r="B2656" t="str">
        <f>"120807200500"</f>
        <v>120807200500</v>
      </c>
      <c r="C2656" t="s">
        <v>1208</v>
      </c>
      <c r="D2656" t="s">
        <v>232</v>
      </c>
      <c r="G2656" t="s">
        <v>32</v>
      </c>
      <c r="H2656" t="s">
        <v>33</v>
      </c>
      <c r="I2656" t="s">
        <v>26</v>
      </c>
      <c r="J2656" t="s">
        <v>27</v>
      </c>
      <c r="K2656" t="s">
        <v>867</v>
      </c>
      <c r="M2656" s="1">
        <v>38541</v>
      </c>
      <c r="N2656">
        <v>2005</v>
      </c>
    </row>
    <row r="2657" spans="1:14">
      <c r="A2657" t="s">
        <v>14</v>
      </c>
      <c r="B2657" t="str">
        <f>"122411200500"</f>
        <v>122411200500</v>
      </c>
      <c r="C2657" t="s">
        <v>2251</v>
      </c>
      <c r="D2657" t="s">
        <v>380</v>
      </c>
      <c r="G2657" t="s">
        <v>32</v>
      </c>
      <c r="H2657" t="s">
        <v>33</v>
      </c>
      <c r="I2657" t="s">
        <v>26</v>
      </c>
      <c r="J2657" t="s">
        <v>27</v>
      </c>
      <c r="K2657" t="s">
        <v>867</v>
      </c>
      <c r="M2657" s="1">
        <v>38680</v>
      </c>
      <c r="N2657">
        <v>2005</v>
      </c>
    </row>
    <row r="2658" spans="1:14">
      <c r="A2658" t="s">
        <v>14</v>
      </c>
      <c r="B2658" t="str">
        <f>"120902200400"</f>
        <v>120902200400</v>
      </c>
      <c r="C2658" t="s">
        <v>2261</v>
      </c>
      <c r="D2658" t="s">
        <v>178</v>
      </c>
      <c r="G2658" t="s">
        <v>32</v>
      </c>
      <c r="H2658" t="s">
        <v>33</v>
      </c>
      <c r="I2658" t="s">
        <v>26</v>
      </c>
      <c r="J2658" t="s">
        <v>27</v>
      </c>
      <c r="K2658" t="s">
        <v>867</v>
      </c>
      <c r="L2658" t="s">
        <v>22</v>
      </c>
      <c r="M2658" s="1">
        <v>38026</v>
      </c>
      <c r="N2658">
        <v>2004</v>
      </c>
    </row>
    <row r="2659" spans="1:14">
      <c r="A2659" t="s">
        <v>14</v>
      </c>
      <c r="B2659" t="str">
        <f>"122102200401"</f>
        <v>122102200401</v>
      </c>
      <c r="C2659" t="s">
        <v>2354</v>
      </c>
      <c r="D2659" t="s">
        <v>238</v>
      </c>
      <c r="G2659" t="s">
        <v>32</v>
      </c>
      <c r="H2659" t="s">
        <v>33</v>
      </c>
      <c r="I2659" t="s">
        <v>26</v>
      </c>
      <c r="J2659" t="s">
        <v>27</v>
      </c>
      <c r="K2659" t="s">
        <v>867</v>
      </c>
      <c r="L2659" t="s">
        <v>22</v>
      </c>
      <c r="M2659" s="1">
        <v>38038</v>
      </c>
      <c r="N2659">
        <v>2004</v>
      </c>
    </row>
    <row r="2660" spans="1:14">
      <c r="A2660" t="s">
        <v>14</v>
      </c>
      <c r="B2660" t="str">
        <f>"122612200300"</f>
        <v>122612200300</v>
      </c>
      <c r="C2660" t="s">
        <v>673</v>
      </c>
      <c r="D2660" t="s">
        <v>184</v>
      </c>
      <c r="G2660" t="s">
        <v>32</v>
      </c>
      <c r="H2660" t="s">
        <v>65</v>
      </c>
      <c r="I2660" t="s">
        <v>26</v>
      </c>
      <c r="J2660" t="s">
        <v>27</v>
      </c>
      <c r="K2660" t="s">
        <v>674</v>
      </c>
      <c r="L2660" t="s">
        <v>22</v>
      </c>
      <c r="M2660" s="1">
        <v>37981</v>
      </c>
      <c r="N2660">
        <v>2003</v>
      </c>
    </row>
    <row r="2661" spans="1:14">
      <c r="A2661" t="s">
        <v>14</v>
      </c>
      <c r="B2661" t="str">
        <f>"121208200300"</f>
        <v>121208200300</v>
      </c>
      <c r="C2661" t="s">
        <v>1433</v>
      </c>
      <c r="D2661" t="s">
        <v>609</v>
      </c>
      <c r="G2661" t="s">
        <v>32</v>
      </c>
      <c r="H2661" t="s">
        <v>65</v>
      </c>
      <c r="I2661" t="s">
        <v>26</v>
      </c>
      <c r="J2661" t="s">
        <v>27</v>
      </c>
      <c r="K2661" t="s">
        <v>867</v>
      </c>
      <c r="M2661" s="1">
        <v>37845</v>
      </c>
      <c r="N2661">
        <v>2003</v>
      </c>
    </row>
    <row r="2662" spans="1:14">
      <c r="A2662" t="s">
        <v>14</v>
      </c>
      <c r="B2662" t="str">
        <f>"122706200200"</f>
        <v>122706200200</v>
      </c>
      <c r="C2662" t="s">
        <v>1553</v>
      </c>
      <c r="D2662" t="s">
        <v>609</v>
      </c>
      <c r="G2662" t="s">
        <v>32</v>
      </c>
      <c r="H2662" t="s">
        <v>65</v>
      </c>
      <c r="I2662" t="s">
        <v>26</v>
      </c>
      <c r="J2662" t="s">
        <v>27</v>
      </c>
      <c r="K2662" t="s">
        <v>674</v>
      </c>
      <c r="L2662" t="s">
        <v>63</v>
      </c>
      <c r="M2662" s="1">
        <v>37434</v>
      </c>
      <c r="N2662">
        <v>2002</v>
      </c>
    </row>
    <row r="2663" spans="1:14">
      <c r="A2663" t="s">
        <v>14</v>
      </c>
      <c r="B2663" t="str">
        <f>"121404200301"</f>
        <v>121404200301</v>
      </c>
      <c r="C2663" t="s">
        <v>1555</v>
      </c>
      <c r="D2663" t="s">
        <v>64</v>
      </c>
      <c r="G2663" t="s">
        <v>32</v>
      </c>
      <c r="H2663" t="s">
        <v>65</v>
      </c>
      <c r="I2663" t="s">
        <v>26</v>
      </c>
      <c r="J2663" t="s">
        <v>27</v>
      </c>
      <c r="K2663" t="s">
        <v>674</v>
      </c>
      <c r="L2663" t="s">
        <v>22</v>
      </c>
      <c r="M2663" s="1">
        <v>37725</v>
      </c>
      <c r="N2663">
        <v>2003</v>
      </c>
    </row>
    <row r="2664" spans="1:14">
      <c r="A2664" t="s">
        <v>14</v>
      </c>
      <c r="B2664" t="str">
        <f>"121207200200"</f>
        <v>121207200200</v>
      </c>
      <c r="C2664" t="s">
        <v>2352</v>
      </c>
      <c r="D2664" t="s">
        <v>611</v>
      </c>
      <c r="G2664" t="s">
        <v>32</v>
      </c>
      <c r="H2664" t="s">
        <v>65</v>
      </c>
      <c r="I2664" t="s">
        <v>26</v>
      </c>
      <c r="J2664" t="s">
        <v>27</v>
      </c>
      <c r="K2664" t="s">
        <v>674</v>
      </c>
      <c r="L2664" t="s">
        <v>22</v>
      </c>
      <c r="M2664" s="1">
        <v>37449</v>
      </c>
      <c r="N2664">
        <v>2002</v>
      </c>
    </row>
    <row r="2665" spans="1:14">
      <c r="A2665" t="s">
        <v>14</v>
      </c>
      <c r="B2665" t="str">
        <f>"120807200300"</f>
        <v>120807200300</v>
      </c>
      <c r="C2665" t="s">
        <v>2686</v>
      </c>
      <c r="D2665" t="s">
        <v>184</v>
      </c>
      <c r="G2665" t="s">
        <v>32</v>
      </c>
      <c r="H2665" t="s">
        <v>65</v>
      </c>
      <c r="I2665" t="s">
        <v>26</v>
      </c>
      <c r="J2665" t="s">
        <v>27</v>
      </c>
      <c r="K2665" t="s">
        <v>674</v>
      </c>
      <c r="L2665" t="s">
        <v>202</v>
      </c>
      <c r="M2665" s="1">
        <v>37810</v>
      </c>
      <c r="N2665">
        <v>2003</v>
      </c>
    </row>
    <row r="2666" spans="1:14">
      <c r="A2666" t="s">
        <v>14</v>
      </c>
      <c r="B2666" t="str">
        <f>"122105199200"</f>
        <v>122105199200</v>
      </c>
      <c r="C2666" t="s">
        <v>352</v>
      </c>
      <c r="D2666" t="s">
        <v>353</v>
      </c>
      <c r="G2666" t="s">
        <v>32</v>
      </c>
      <c r="H2666" t="s">
        <v>59</v>
      </c>
      <c r="I2666" t="s">
        <v>26</v>
      </c>
      <c r="J2666" t="s">
        <v>27</v>
      </c>
      <c r="K2666" t="s">
        <v>28</v>
      </c>
      <c r="L2666" t="s">
        <v>48</v>
      </c>
      <c r="M2666" s="1">
        <v>33745</v>
      </c>
      <c r="N2666">
        <v>1992</v>
      </c>
    </row>
    <row r="2667" spans="1:14">
      <c r="A2667" t="s">
        <v>14</v>
      </c>
      <c r="B2667" t="str">
        <f>"121212199000"</f>
        <v>121212199000</v>
      </c>
      <c r="C2667" t="s">
        <v>1579</v>
      </c>
      <c r="D2667" t="s">
        <v>1580</v>
      </c>
      <c r="G2667" t="s">
        <v>32</v>
      </c>
      <c r="H2667" t="s">
        <v>59</v>
      </c>
      <c r="I2667" t="s">
        <v>26</v>
      </c>
      <c r="J2667" t="s">
        <v>27</v>
      </c>
      <c r="K2667" t="s">
        <v>28</v>
      </c>
      <c r="L2667" t="s">
        <v>29</v>
      </c>
      <c r="M2667" s="1">
        <v>33219</v>
      </c>
      <c r="N2667">
        <v>1990</v>
      </c>
    </row>
    <row r="2668" spans="1:14">
      <c r="A2668" t="s">
        <v>14</v>
      </c>
      <c r="B2668" t="str">
        <f>"122810198900"</f>
        <v>122810198900</v>
      </c>
      <c r="C2668" t="s">
        <v>1738</v>
      </c>
      <c r="D2668" t="s">
        <v>234</v>
      </c>
      <c r="G2668" t="s">
        <v>32</v>
      </c>
      <c r="H2668" t="s">
        <v>59</v>
      </c>
      <c r="I2668" t="s">
        <v>26</v>
      </c>
      <c r="J2668" t="s">
        <v>27</v>
      </c>
      <c r="K2668" t="s">
        <v>1739</v>
      </c>
      <c r="L2668" t="s">
        <v>48</v>
      </c>
      <c r="M2668" s="1">
        <v>32809</v>
      </c>
      <c r="N2668">
        <v>1989</v>
      </c>
    </row>
    <row r="2669" spans="1:14">
      <c r="A2669" t="s">
        <v>14</v>
      </c>
      <c r="B2669" t="str">
        <f>"120903199601"</f>
        <v>120903199601</v>
      </c>
      <c r="C2669" t="s">
        <v>2219</v>
      </c>
      <c r="D2669" t="s">
        <v>233</v>
      </c>
      <c r="G2669" t="s">
        <v>32</v>
      </c>
      <c r="H2669" t="s">
        <v>59</v>
      </c>
      <c r="I2669" t="s">
        <v>26</v>
      </c>
      <c r="J2669" t="s">
        <v>27</v>
      </c>
      <c r="K2669" t="s">
        <v>28</v>
      </c>
      <c r="L2669" t="s">
        <v>48</v>
      </c>
      <c r="M2669" s="1">
        <v>35133</v>
      </c>
      <c r="N2669">
        <v>1996</v>
      </c>
    </row>
    <row r="2670" spans="1:14">
      <c r="A2670" t="s">
        <v>14</v>
      </c>
      <c r="B2670" t="str">
        <f>"121501199700"</f>
        <v>121501199700</v>
      </c>
      <c r="C2670" t="s">
        <v>2352</v>
      </c>
      <c r="D2670" t="s">
        <v>233</v>
      </c>
      <c r="G2670" t="s">
        <v>32</v>
      </c>
      <c r="H2670" t="s">
        <v>59</v>
      </c>
      <c r="I2670" t="s">
        <v>26</v>
      </c>
      <c r="J2670" t="s">
        <v>27</v>
      </c>
      <c r="K2670" t="s">
        <v>28</v>
      </c>
      <c r="L2670" t="s">
        <v>48</v>
      </c>
      <c r="M2670" s="1">
        <v>35445</v>
      </c>
      <c r="N2670">
        <v>1997</v>
      </c>
    </row>
    <row r="2671" spans="1:14">
      <c r="A2671" t="s">
        <v>14</v>
      </c>
      <c r="B2671" t="str">
        <f>"122502199701"</f>
        <v>122502199701</v>
      </c>
      <c r="C2671" t="s">
        <v>2370</v>
      </c>
      <c r="D2671" t="s">
        <v>2371</v>
      </c>
      <c r="G2671" t="s">
        <v>32</v>
      </c>
      <c r="H2671" t="s">
        <v>59</v>
      </c>
      <c r="I2671" t="s">
        <v>26</v>
      </c>
      <c r="J2671" t="s">
        <v>27</v>
      </c>
      <c r="K2671" t="s">
        <v>28</v>
      </c>
      <c r="L2671" t="s">
        <v>63</v>
      </c>
      <c r="M2671" s="1">
        <v>35486</v>
      </c>
      <c r="N2671">
        <v>1997</v>
      </c>
    </row>
    <row r="2672" spans="1:14">
      <c r="A2672" t="s">
        <v>14</v>
      </c>
      <c r="B2672" t="str">
        <f>"121707199300"</f>
        <v>121707199300</v>
      </c>
      <c r="C2672" t="s">
        <v>2548</v>
      </c>
      <c r="D2672" t="s">
        <v>178</v>
      </c>
      <c r="G2672" t="s">
        <v>32</v>
      </c>
      <c r="H2672" t="s">
        <v>59</v>
      </c>
      <c r="I2672" t="s">
        <v>26</v>
      </c>
      <c r="J2672" t="s">
        <v>27</v>
      </c>
      <c r="K2672" t="s">
        <v>28</v>
      </c>
      <c r="L2672" t="s">
        <v>48</v>
      </c>
      <c r="M2672" s="1">
        <v>34167</v>
      </c>
      <c r="N2672">
        <v>1993</v>
      </c>
    </row>
    <row r="2673" spans="1:14">
      <c r="A2673" t="s">
        <v>14</v>
      </c>
      <c r="B2673" t="str">
        <f>"123108198800"</f>
        <v>123108198800</v>
      </c>
      <c r="C2673" t="s">
        <v>2656</v>
      </c>
      <c r="D2673" t="s">
        <v>1304</v>
      </c>
      <c r="G2673" t="s">
        <v>32</v>
      </c>
      <c r="H2673" t="s">
        <v>59</v>
      </c>
      <c r="I2673" t="s">
        <v>26</v>
      </c>
      <c r="J2673" t="s">
        <v>27</v>
      </c>
      <c r="K2673" t="s">
        <v>28</v>
      </c>
      <c r="L2673" t="s">
        <v>48</v>
      </c>
      <c r="M2673" s="1">
        <v>32386</v>
      </c>
      <c r="N2673">
        <v>1988</v>
      </c>
    </row>
    <row r="2674" spans="1:14">
      <c r="A2674" t="s">
        <v>14</v>
      </c>
      <c r="B2674" t="str">
        <f>"122307200000"</f>
        <v>122307200000</v>
      </c>
      <c r="C2674" t="s">
        <v>1394</v>
      </c>
      <c r="D2674" t="s">
        <v>970</v>
      </c>
      <c r="G2674" t="s">
        <v>32</v>
      </c>
      <c r="H2674" t="s">
        <v>44</v>
      </c>
      <c r="I2674" t="s">
        <v>26</v>
      </c>
      <c r="J2674" t="s">
        <v>27</v>
      </c>
      <c r="K2674" t="s">
        <v>28</v>
      </c>
      <c r="L2674" t="s">
        <v>22</v>
      </c>
      <c r="M2674" s="1">
        <v>36730</v>
      </c>
      <c r="N2674">
        <v>2000</v>
      </c>
    </row>
    <row r="2675" spans="1:14">
      <c r="A2675" t="s">
        <v>14</v>
      </c>
      <c r="B2675" t="str">
        <f>"120109199900"</f>
        <v>120109199900</v>
      </c>
      <c r="C2675" t="s">
        <v>1414</v>
      </c>
      <c r="D2675" t="s">
        <v>184</v>
      </c>
      <c r="G2675" t="s">
        <v>32</v>
      </c>
      <c r="H2675" t="s">
        <v>44</v>
      </c>
      <c r="I2675" t="s">
        <v>26</v>
      </c>
      <c r="J2675" t="s">
        <v>27</v>
      </c>
      <c r="K2675" t="s">
        <v>28</v>
      </c>
      <c r="L2675" t="s">
        <v>63</v>
      </c>
      <c r="M2675" s="1">
        <v>36404</v>
      </c>
      <c r="N2675">
        <v>1999</v>
      </c>
    </row>
    <row r="2676" spans="1:14">
      <c r="A2676" t="s">
        <v>14</v>
      </c>
      <c r="B2676" t="str">
        <f>"122801199900"</f>
        <v>122801199900</v>
      </c>
      <c r="C2676" t="s">
        <v>2627</v>
      </c>
      <c r="D2676" t="s">
        <v>238</v>
      </c>
      <c r="G2676" t="s">
        <v>32</v>
      </c>
      <c r="H2676" t="s">
        <v>44</v>
      </c>
      <c r="I2676" t="s">
        <v>26</v>
      </c>
      <c r="J2676" t="s">
        <v>27</v>
      </c>
      <c r="K2676" t="s">
        <v>28</v>
      </c>
      <c r="L2676" t="s">
        <v>63</v>
      </c>
      <c r="M2676" s="1">
        <v>36188</v>
      </c>
      <c r="N2676">
        <v>1999</v>
      </c>
    </row>
    <row r="2677" spans="1:14">
      <c r="A2677" t="s">
        <v>14</v>
      </c>
      <c r="B2677" t="str">
        <f>"120808200100"</f>
        <v>120808200100</v>
      </c>
      <c r="C2677" t="s">
        <v>2838</v>
      </c>
      <c r="D2677" t="s">
        <v>310</v>
      </c>
      <c r="G2677" t="s">
        <v>32</v>
      </c>
      <c r="H2677" t="s">
        <v>44</v>
      </c>
      <c r="I2677" t="s">
        <v>26</v>
      </c>
      <c r="J2677" t="s">
        <v>27</v>
      </c>
      <c r="K2677" t="s">
        <v>674</v>
      </c>
      <c r="L2677" t="s">
        <v>22</v>
      </c>
      <c r="M2677" s="1">
        <v>37111</v>
      </c>
      <c r="N2677">
        <v>2001</v>
      </c>
    </row>
    <row r="2678" spans="1:14">
      <c r="A2678" t="s">
        <v>14</v>
      </c>
      <c r="B2678" t="str">
        <f>"112301199102"</f>
        <v>112301199102</v>
      </c>
      <c r="C2678" t="s">
        <v>23</v>
      </c>
      <c r="D2678" t="s">
        <v>24</v>
      </c>
      <c r="G2678" t="s">
        <v>17</v>
      </c>
      <c r="H2678" t="s">
        <v>25</v>
      </c>
      <c r="I2678" t="s">
        <v>26</v>
      </c>
      <c r="J2678" t="s">
        <v>27</v>
      </c>
      <c r="K2678" t="s">
        <v>28</v>
      </c>
      <c r="L2678" t="s">
        <v>29</v>
      </c>
      <c r="M2678" s="1">
        <v>33261</v>
      </c>
      <c r="N2678">
        <v>1991</v>
      </c>
    </row>
    <row r="2679" spans="1:14">
      <c r="A2679" t="s">
        <v>14</v>
      </c>
      <c r="B2679" t="str">
        <f>"111404199400"</f>
        <v>111404199400</v>
      </c>
      <c r="C2679" t="s">
        <v>1360</v>
      </c>
      <c r="D2679" t="s">
        <v>1361</v>
      </c>
      <c r="G2679" t="s">
        <v>17</v>
      </c>
      <c r="H2679" t="s">
        <v>25</v>
      </c>
      <c r="I2679" t="s">
        <v>26</v>
      </c>
      <c r="J2679" t="s">
        <v>27</v>
      </c>
      <c r="K2679" t="s">
        <v>28</v>
      </c>
      <c r="L2679" t="s">
        <v>48</v>
      </c>
      <c r="M2679" s="1">
        <v>34438</v>
      </c>
      <c r="N2679">
        <v>1994</v>
      </c>
    </row>
    <row r="2680" spans="1:14">
      <c r="A2680" t="s">
        <v>14</v>
      </c>
      <c r="B2680" t="str">
        <f>"113107199500"</f>
        <v>113107199500</v>
      </c>
      <c r="C2680" t="s">
        <v>1565</v>
      </c>
      <c r="D2680" t="s">
        <v>373</v>
      </c>
      <c r="G2680" t="s">
        <v>17</v>
      </c>
      <c r="H2680" t="s">
        <v>25</v>
      </c>
      <c r="I2680" t="s">
        <v>26</v>
      </c>
      <c r="J2680" t="s">
        <v>27</v>
      </c>
      <c r="K2680" t="s">
        <v>28</v>
      </c>
      <c r="L2680" t="s">
        <v>48</v>
      </c>
      <c r="M2680" s="1">
        <v>34911</v>
      </c>
      <c r="N2680">
        <v>1995</v>
      </c>
    </row>
    <row r="2681" spans="1:14">
      <c r="A2681" t="s">
        <v>14</v>
      </c>
      <c r="B2681" t="str">
        <f>"112402199700"</f>
        <v>112402199700</v>
      </c>
      <c r="C2681" t="s">
        <v>2181</v>
      </c>
      <c r="D2681" t="s">
        <v>53</v>
      </c>
      <c r="G2681" t="s">
        <v>17</v>
      </c>
      <c r="H2681" t="s">
        <v>25</v>
      </c>
      <c r="I2681" t="s">
        <v>26</v>
      </c>
      <c r="J2681" t="s">
        <v>27</v>
      </c>
      <c r="K2681" t="s">
        <v>674</v>
      </c>
      <c r="L2681" t="s">
        <v>63</v>
      </c>
      <c r="M2681" s="1">
        <v>35485</v>
      </c>
      <c r="N2681">
        <v>1997</v>
      </c>
    </row>
    <row r="2682" spans="1:14">
      <c r="A2682" t="s">
        <v>14</v>
      </c>
      <c r="B2682" t="str">
        <f>"112208199400"</f>
        <v>112208199400</v>
      </c>
      <c r="C2682" t="s">
        <v>2181</v>
      </c>
      <c r="D2682" t="s">
        <v>209</v>
      </c>
      <c r="G2682" t="s">
        <v>17</v>
      </c>
      <c r="H2682" t="s">
        <v>25</v>
      </c>
      <c r="I2682" t="s">
        <v>26</v>
      </c>
      <c r="J2682" t="s">
        <v>27</v>
      </c>
      <c r="K2682" t="s">
        <v>28</v>
      </c>
      <c r="L2682" t="s">
        <v>48</v>
      </c>
      <c r="M2682" s="1">
        <v>34568</v>
      </c>
      <c r="N2682">
        <v>1994</v>
      </c>
    </row>
    <row r="2683" spans="1:14">
      <c r="A2683" t="s">
        <v>14</v>
      </c>
      <c r="B2683" t="str">
        <f>"110602199801"</f>
        <v>110602199801</v>
      </c>
      <c r="C2683" t="s">
        <v>2409</v>
      </c>
      <c r="D2683" t="s">
        <v>889</v>
      </c>
      <c r="G2683" t="s">
        <v>17</v>
      </c>
      <c r="H2683" t="s">
        <v>25</v>
      </c>
      <c r="I2683" t="s">
        <v>26</v>
      </c>
      <c r="J2683" t="s">
        <v>27</v>
      </c>
      <c r="K2683" t="s">
        <v>674</v>
      </c>
      <c r="L2683" t="s">
        <v>22</v>
      </c>
      <c r="M2683" s="1">
        <v>35832</v>
      </c>
      <c r="N2683">
        <v>1998</v>
      </c>
    </row>
    <row r="2684" spans="1:14">
      <c r="A2684" t="s">
        <v>14</v>
      </c>
      <c r="B2684" t="str">
        <f>"113107199502"</f>
        <v>113107199502</v>
      </c>
      <c r="C2684" t="s">
        <v>2779</v>
      </c>
      <c r="D2684" t="s">
        <v>115</v>
      </c>
      <c r="G2684" t="s">
        <v>17</v>
      </c>
      <c r="H2684" t="s">
        <v>25</v>
      </c>
      <c r="I2684" t="s">
        <v>26</v>
      </c>
      <c r="J2684" t="s">
        <v>27</v>
      </c>
      <c r="K2684" t="s">
        <v>28</v>
      </c>
      <c r="L2684" t="s">
        <v>48</v>
      </c>
      <c r="M2684" s="1">
        <v>34911</v>
      </c>
      <c r="N2684">
        <v>1995</v>
      </c>
    </row>
    <row r="2685" spans="1:14">
      <c r="A2685" t="s">
        <v>14</v>
      </c>
      <c r="B2685" t="str">
        <f>"112106200100"</f>
        <v>112106200100</v>
      </c>
      <c r="C2685" t="s">
        <v>2434</v>
      </c>
      <c r="D2685" t="s">
        <v>373</v>
      </c>
      <c r="G2685" t="s">
        <v>17</v>
      </c>
      <c r="H2685" t="s">
        <v>18</v>
      </c>
      <c r="I2685" t="s">
        <v>26</v>
      </c>
      <c r="J2685" t="s">
        <v>27</v>
      </c>
      <c r="K2685" t="s">
        <v>674</v>
      </c>
      <c r="L2685" t="s">
        <v>202</v>
      </c>
      <c r="M2685" s="1">
        <v>37063</v>
      </c>
      <c r="N2685">
        <v>2001</v>
      </c>
    </row>
    <row r="2686" spans="1:14">
      <c r="A2686" t="s">
        <v>14</v>
      </c>
      <c r="B2686" t="str">
        <f>"111208200100"</f>
        <v>111208200100</v>
      </c>
      <c r="C2686" t="s">
        <v>2778</v>
      </c>
      <c r="D2686" t="s">
        <v>209</v>
      </c>
      <c r="G2686" t="s">
        <v>17</v>
      </c>
      <c r="H2686" t="s">
        <v>18</v>
      </c>
      <c r="I2686" t="s">
        <v>26</v>
      </c>
      <c r="J2686" t="s">
        <v>27</v>
      </c>
      <c r="K2686" t="s">
        <v>674</v>
      </c>
      <c r="L2686" t="s">
        <v>202</v>
      </c>
      <c r="M2686" s="1">
        <v>37115</v>
      </c>
      <c r="N2686">
        <v>2001</v>
      </c>
    </row>
    <row r="2687" spans="1:14">
      <c r="A2687" t="s">
        <v>14</v>
      </c>
      <c r="B2687" t="str">
        <f>"112906200101"</f>
        <v>112906200101</v>
      </c>
      <c r="C2687" t="s">
        <v>2936</v>
      </c>
      <c r="D2687" t="s">
        <v>136</v>
      </c>
      <c r="G2687" t="s">
        <v>17</v>
      </c>
      <c r="H2687" t="s">
        <v>18</v>
      </c>
      <c r="I2687" t="s">
        <v>26</v>
      </c>
      <c r="J2687" t="s">
        <v>27</v>
      </c>
      <c r="K2687" t="s">
        <v>674</v>
      </c>
      <c r="L2687" t="s">
        <v>22</v>
      </c>
      <c r="M2687" s="1">
        <v>37071</v>
      </c>
      <c r="N2687">
        <v>2001</v>
      </c>
    </row>
    <row r="2688" spans="1:14">
      <c r="A2688" t="s">
        <v>14</v>
      </c>
      <c r="B2688" t="str">
        <f>"112204200401"</f>
        <v>112204200401</v>
      </c>
      <c r="C2688" t="s">
        <v>866</v>
      </c>
      <c r="D2688" t="s">
        <v>100</v>
      </c>
      <c r="G2688" t="s">
        <v>17</v>
      </c>
      <c r="H2688" t="s">
        <v>39</v>
      </c>
      <c r="I2688" t="s">
        <v>26</v>
      </c>
      <c r="J2688" t="s">
        <v>27</v>
      </c>
      <c r="K2688" t="s">
        <v>867</v>
      </c>
      <c r="M2688" s="1">
        <v>38099</v>
      </c>
      <c r="N2688">
        <v>2004</v>
      </c>
    </row>
    <row r="2689" spans="1:14">
      <c r="A2689" t="s">
        <v>14</v>
      </c>
      <c r="B2689" t="str">
        <f>"112109200400"</f>
        <v>112109200400</v>
      </c>
      <c r="C2689" t="s">
        <v>1114</v>
      </c>
      <c r="D2689" t="s">
        <v>292</v>
      </c>
      <c r="G2689" t="s">
        <v>17</v>
      </c>
      <c r="H2689" t="s">
        <v>39</v>
      </c>
      <c r="I2689" t="s">
        <v>26</v>
      </c>
      <c r="J2689" t="s">
        <v>27</v>
      </c>
      <c r="K2689" t="s">
        <v>867</v>
      </c>
      <c r="M2689" s="1">
        <v>38251</v>
      </c>
      <c r="N2689">
        <v>2004</v>
      </c>
    </row>
    <row r="2690" spans="1:14">
      <c r="A2690" t="s">
        <v>14</v>
      </c>
      <c r="B2690" t="str">
        <f>"111505200400"</f>
        <v>111505200400</v>
      </c>
      <c r="C2690" t="s">
        <v>1461</v>
      </c>
      <c r="D2690" t="s">
        <v>344</v>
      </c>
      <c r="G2690" t="s">
        <v>17</v>
      </c>
      <c r="H2690" t="s">
        <v>39</v>
      </c>
      <c r="I2690" t="s">
        <v>26</v>
      </c>
      <c r="J2690" t="s">
        <v>27</v>
      </c>
      <c r="K2690" t="s">
        <v>867</v>
      </c>
      <c r="L2690" t="s">
        <v>22</v>
      </c>
      <c r="M2690" s="1">
        <v>38122</v>
      </c>
      <c r="N2690">
        <v>2004</v>
      </c>
    </row>
    <row r="2691" spans="1:14">
      <c r="A2691" t="s">
        <v>14</v>
      </c>
      <c r="B2691" t="str">
        <f>"112505200500"</f>
        <v>112505200500</v>
      </c>
      <c r="C2691" t="s">
        <v>2896</v>
      </c>
      <c r="D2691" t="s">
        <v>221</v>
      </c>
      <c r="G2691" t="s">
        <v>17</v>
      </c>
      <c r="H2691" t="s">
        <v>39</v>
      </c>
      <c r="I2691" t="s">
        <v>26</v>
      </c>
      <c r="J2691" t="s">
        <v>27</v>
      </c>
      <c r="K2691" t="s">
        <v>867</v>
      </c>
      <c r="M2691" s="1">
        <v>38497</v>
      </c>
      <c r="N2691">
        <v>2005</v>
      </c>
    </row>
    <row r="2692" spans="1:14">
      <c r="A2692" t="s">
        <v>14</v>
      </c>
      <c r="B2692" t="str">
        <f>"112608200300"</f>
        <v>112608200300</v>
      </c>
      <c r="C2692" t="s">
        <v>1150</v>
      </c>
      <c r="D2692" t="s">
        <v>98</v>
      </c>
      <c r="G2692" t="s">
        <v>17</v>
      </c>
      <c r="H2692" t="s">
        <v>51</v>
      </c>
      <c r="I2692" t="s">
        <v>26</v>
      </c>
      <c r="J2692" t="s">
        <v>27</v>
      </c>
      <c r="K2692" t="s">
        <v>674</v>
      </c>
      <c r="L2692" t="s">
        <v>202</v>
      </c>
      <c r="M2692" s="1">
        <v>37859</v>
      </c>
      <c r="N2692">
        <v>2003</v>
      </c>
    </row>
    <row r="2693" spans="1:14">
      <c r="A2693" t="s">
        <v>14</v>
      </c>
      <c r="B2693" t="str">
        <f>"110506200200"</f>
        <v>110506200200</v>
      </c>
      <c r="C2693" t="s">
        <v>1234</v>
      </c>
      <c r="D2693" t="s">
        <v>1235</v>
      </c>
      <c r="G2693" t="s">
        <v>17</v>
      </c>
      <c r="H2693" t="s">
        <v>51</v>
      </c>
      <c r="I2693" t="s">
        <v>26</v>
      </c>
      <c r="J2693" t="s">
        <v>27</v>
      </c>
      <c r="K2693" t="s">
        <v>674</v>
      </c>
      <c r="L2693" t="s">
        <v>22</v>
      </c>
      <c r="M2693" s="1">
        <v>37412</v>
      </c>
      <c r="N2693">
        <v>2002</v>
      </c>
    </row>
    <row r="2694" spans="1:14">
      <c r="A2694" t="s">
        <v>14</v>
      </c>
      <c r="B2694" t="str">
        <f>"111208200300"</f>
        <v>111208200300</v>
      </c>
      <c r="C2694" t="s">
        <v>1432</v>
      </c>
      <c r="D2694" t="s">
        <v>136</v>
      </c>
      <c r="G2694" t="s">
        <v>17</v>
      </c>
      <c r="H2694" t="s">
        <v>51</v>
      </c>
      <c r="I2694" t="s">
        <v>26</v>
      </c>
      <c r="J2694" t="s">
        <v>27</v>
      </c>
      <c r="K2694" t="s">
        <v>674</v>
      </c>
      <c r="L2694" t="s">
        <v>22</v>
      </c>
      <c r="M2694" s="1">
        <v>37845</v>
      </c>
      <c r="N2694">
        <v>2003</v>
      </c>
    </row>
    <row r="2695" spans="1:14">
      <c r="A2695" t="s">
        <v>14</v>
      </c>
      <c r="B2695" t="str">
        <f>"111510200301"</f>
        <v>111510200301</v>
      </c>
      <c r="C2695" t="s">
        <v>1986</v>
      </c>
      <c r="D2695" t="s">
        <v>558</v>
      </c>
      <c r="G2695" t="s">
        <v>17</v>
      </c>
      <c r="H2695" t="s">
        <v>51</v>
      </c>
      <c r="I2695" t="s">
        <v>26</v>
      </c>
      <c r="J2695" t="s">
        <v>27</v>
      </c>
      <c r="K2695" t="s">
        <v>674</v>
      </c>
      <c r="L2695" t="s">
        <v>202</v>
      </c>
      <c r="M2695" s="1">
        <v>37909</v>
      </c>
      <c r="N2695">
        <v>2003</v>
      </c>
    </row>
    <row r="2696" spans="1:14">
      <c r="A2696" t="s">
        <v>14</v>
      </c>
      <c r="B2696" t="str">
        <f>"110811200202"</f>
        <v>110811200202</v>
      </c>
      <c r="C2696" t="s">
        <v>2358</v>
      </c>
      <c r="D2696" t="s">
        <v>403</v>
      </c>
      <c r="G2696" t="s">
        <v>17</v>
      </c>
      <c r="H2696" t="s">
        <v>51</v>
      </c>
      <c r="I2696" t="s">
        <v>26</v>
      </c>
      <c r="J2696" t="s">
        <v>27</v>
      </c>
      <c r="K2696" t="s">
        <v>867</v>
      </c>
      <c r="L2696" t="s">
        <v>22</v>
      </c>
      <c r="M2696" s="1">
        <v>37568</v>
      </c>
      <c r="N2696">
        <v>2002</v>
      </c>
    </row>
    <row r="2697" spans="1:14">
      <c r="A2697" t="s">
        <v>14</v>
      </c>
      <c r="B2697" t="str">
        <f>"111908200300"</f>
        <v>111908200300</v>
      </c>
      <c r="C2697" t="s">
        <v>2716</v>
      </c>
      <c r="D2697" t="s">
        <v>113</v>
      </c>
      <c r="G2697" t="s">
        <v>17</v>
      </c>
      <c r="H2697" t="s">
        <v>51</v>
      </c>
      <c r="I2697" t="s">
        <v>26</v>
      </c>
      <c r="J2697" t="s">
        <v>27</v>
      </c>
      <c r="K2697" t="s">
        <v>674</v>
      </c>
      <c r="L2697" t="s">
        <v>22</v>
      </c>
      <c r="M2697" s="1">
        <v>37852</v>
      </c>
      <c r="N2697">
        <v>2003</v>
      </c>
    </row>
    <row r="2698" spans="1:14">
      <c r="A2698" t="s">
        <v>14</v>
      </c>
      <c r="B2698" t="str">
        <f>"112407200300"</f>
        <v>112407200300</v>
      </c>
      <c r="C2698" t="s">
        <v>2851</v>
      </c>
      <c r="D2698" t="s">
        <v>50</v>
      </c>
      <c r="G2698" t="s">
        <v>17</v>
      </c>
      <c r="H2698" t="s">
        <v>51</v>
      </c>
      <c r="I2698" t="s">
        <v>26</v>
      </c>
      <c r="J2698" t="s">
        <v>27</v>
      </c>
      <c r="K2698" t="s">
        <v>674</v>
      </c>
      <c r="L2698" t="s">
        <v>22</v>
      </c>
      <c r="M2698" s="1">
        <v>37826</v>
      </c>
      <c r="N2698">
        <v>2003</v>
      </c>
    </row>
    <row r="2699" spans="1:14">
      <c r="A2699" t="s">
        <v>14</v>
      </c>
      <c r="B2699" t="str">
        <f>"112705200202"</f>
        <v>112705200202</v>
      </c>
      <c r="C2699" t="s">
        <v>2939</v>
      </c>
      <c r="D2699" t="s">
        <v>89</v>
      </c>
      <c r="G2699" t="s">
        <v>17</v>
      </c>
      <c r="H2699" t="s">
        <v>51</v>
      </c>
      <c r="I2699" t="s">
        <v>26</v>
      </c>
      <c r="J2699" t="s">
        <v>27</v>
      </c>
      <c r="K2699" t="s">
        <v>867</v>
      </c>
      <c r="L2699" t="s">
        <v>22</v>
      </c>
      <c r="M2699" s="1">
        <v>37403</v>
      </c>
      <c r="N2699">
        <v>2002</v>
      </c>
    </row>
    <row r="2700" spans="1:14">
      <c r="A2700" t="s">
        <v>14</v>
      </c>
      <c r="B2700" t="str">
        <f>"112202199500"</f>
        <v>112202199500</v>
      </c>
      <c r="C2700" t="s">
        <v>1202</v>
      </c>
      <c r="D2700" t="s">
        <v>181</v>
      </c>
      <c r="G2700" t="s">
        <v>17</v>
      </c>
      <c r="H2700" t="s">
        <v>25</v>
      </c>
      <c r="I2700" t="s">
        <v>1204</v>
      </c>
      <c r="J2700" t="s">
        <v>27</v>
      </c>
      <c r="K2700" t="s">
        <v>28</v>
      </c>
      <c r="L2700" t="s">
        <v>63</v>
      </c>
      <c r="M2700" s="1">
        <v>34752</v>
      </c>
      <c r="N2700">
        <v>1995</v>
      </c>
    </row>
    <row r="2701" spans="1:14">
      <c r="A2701" t="s">
        <v>14</v>
      </c>
      <c r="B2701" t="str">
        <f>"111403199400"</f>
        <v>111403199400</v>
      </c>
      <c r="C2701" t="s">
        <v>424</v>
      </c>
      <c r="D2701" t="s">
        <v>221</v>
      </c>
      <c r="G2701" t="s">
        <v>17</v>
      </c>
      <c r="H2701" t="s">
        <v>25</v>
      </c>
      <c r="I2701" t="s">
        <v>425</v>
      </c>
      <c r="J2701" t="s">
        <v>27</v>
      </c>
      <c r="K2701" t="s">
        <v>28</v>
      </c>
      <c r="L2701" t="s">
        <v>63</v>
      </c>
      <c r="M2701" s="1">
        <v>34407</v>
      </c>
      <c r="N2701">
        <v>1994</v>
      </c>
    </row>
    <row r="2702" spans="1:14">
      <c r="A2702" t="s">
        <v>14</v>
      </c>
      <c r="B2702" t="str">
        <f>"121511199800"</f>
        <v>121511199800</v>
      </c>
      <c r="C2702" t="s">
        <v>2263</v>
      </c>
      <c r="D2702" t="s">
        <v>2264</v>
      </c>
      <c r="G2702" t="s">
        <v>32</v>
      </c>
      <c r="H2702" t="s">
        <v>59</v>
      </c>
      <c r="I2702" t="s">
        <v>2265</v>
      </c>
      <c r="J2702" t="s">
        <v>27</v>
      </c>
      <c r="K2702" t="s">
        <v>28</v>
      </c>
      <c r="L2702" t="s">
        <v>48</v>
      </c>
      <c r="M2702" s="1">
        <v>36114</v>
      </c>
      <c r="N2702">
        <v>1998</v>
      </c>
    </row>
    <row r="2703" spans="1:14">
      <c r="A2703" t="s">
        <v>14</v>
      </c>
      <c r="B2703" t="str">
        <f>"122707200500"</f>
        <v>122707200500</v>
      </c>
      <c r="C2703" t="s">
        <v>183</v>
      </c>
      <c r="D2703" t="s">
        <v>184</v>
      </c>
      <c r="G2703" t="s">
        <v>32</v>
      </c>
      <c r="H2703" t="s">
        <v>33</v>
      </c>
      <c r="I2703" t="s">
        <v>185</v>
      </c>
      <c r="J2703" t="s">
        <v>186</v>
      </c>
      <c r="K2703" t="s">
        <v>187</v>
      </c>
      <c r="M2703" s="1">
        <v>38560</v>
      </c>
      <c r="N2703">
        <v>2005</v>
      </c>
    </row>
    <row r="2704" spans="1:14">
      <c r="A2704" t="s">
        <v>14</v>
      </c>
      <c r="B2704" t="str">
        <f>"123007200400"</f>
        <v>123007200400</v>
      </c>
      <c r="C2704" t="s">
        <v>397</v>
      </c>
      <c r="D2704" t="s">
        <v>64</v>
      </c>
      <c r="G2704" t="s">
        <v>32</v>
      </c>
      <c r="H2704" t="s">
        <v>33</v>
      </c>
      <c r="I2704" t="s">
        <v>185</v>
      </c>
      <c r="J2704" t="s">
        <v>186</v>
      </c>
      <c r="K2704" t="s">
        <v>187</v>
      </c>
      <c r="M2704" s="1">
        <v>38198</v>
      </c>
      <c r="N2704">
        <v>2004</v>
      </c>
    </row>
    <row r="2705" spans="1:14">
      <c r="A2705" t="s">
        <v>14</v>
      </c>
      <c r="B2705" t="str">
        <f>"120206200400"</f>
        <v>120206200400</v>
      </c>
      <c r="C2705" t="s">
        <v>1586</v>
      </c>
      <c r="D2705" t="s">
        <v>970</v>
      </c>
      <c r="G2705" t="s">
        <v>32</v>
      </c>
      <c r="H2705" t="s">
        <v>33</v>
      </c>
      <c r="I2705" t="s">
        <v>185</v>
      </c>
      <c r="J2705" t="s">
        <v>186</v>
      </c>
      <c r="K2705" t="s">
        <v>187</v>
      </c>
      <c r="M2705" s="1">
        <v>38140</v>
      </c>
      <c r="N2705">
        <v>2004</v>
      </c>
    </row>
    <row r="2706" spans="1:14">
      <c r="A2706" t="s">
        <v>14</v>
      </c>
      <c r="B2706" t="str">
        <f>"122807200501"</f>
        <v>122807200501</v>
      </c>
      <c r="C2706" t="s">
        <v>1743</v>
      </c>
      <c r="D2706" t="s">
        <v>58</v>
      </c>
      <c r="G2706" t="s">
        <v>32</v>
      </c>
      <c r="H2706" t="s">
        <v>33</v>
      </c>
      <c r="I2706" t="s">
        <v>185</v>
      </c>
      <c r="J2706" t="s">
        <v>186</v>
      </c>
      <c r="K2706" t="s">
        <v>187</v>
      </c>
      <c r="M2706" s="1">
        <v>38561</v>
      </c>
      <c r="N2706">
        <v>2005</v>
      </c>
    </row>
    <row r="2707" spans="1:14">
      <c r="A2707" t="s">
        <v>14</v>
      </c>
      <c r="B2707" t="str">
        <f>"122410200400"</f>
        <v>122410200400</v>
      </c>
      <c r="C2707" t="s">
        <v>2172</v>
      </c>
      <c r="D2707" t="s">
        <v>203</v>
      </c>
      <c r="G2707" t="s">
        <v>32</v>
      </c>
      <c r="H2707" t="s">
        <v>33</v>
      </c>
      <c r="I2707" t="s">
        <v>185</v>
      </c>
      <c r="J2707" t="s">
        <v>186</v>
      </c>
      <c r="K2707" t="s">
        <v>187</v>
      </c>
      <c r="M2707" s="1">
        <v>38284</v>
      </c>
      <c r="N2707">
        <v>2004</v>
      </c>
    </row>
    <row r="2708" spans="1:14">
      <c r="A2708" t="s">
        <v>14</v>
      </c>
      <c r="B2708" t="str">
        <f>"122606200500"</f>
        <v>122606200500</v>
      </c>
      <c r="C2708" t="s">
        <v>2660</v>
      </c>
      <c r="D2708" t="s">
        <v>64</v>
      </c>
      <c r="G2708" t="s">
        <v>32</v>
      </c>
      <c r="H2708" t="s">
        <v>33</v>
      </c>
      <c r="I2708" t="s">
        <v>185</v>
      </c>
      <c r="J2708" t="s">
        <v>186</v>
      </c>
      <c r="K2708" t="s">
        <v>187</v>
      </c>
      <c r="M2708" s="1">
        <v>38529</v>
      </c>
      <c r="N2708">
        <v>2005</v>
      </c>
    </row>
    <row r="2709" spans="1:14">
      <c r="A2709" t="s">
        <v>14</v>
      </c>
      <c r="B2709" t="str">
        <f>"120107200301"</f>
        <v>120107200301</v>
      </c>
      <c r="C2709" t="s">
        <v>894</v>
      </c>
      <c r="D2709" t="s">
        <v>194</v>
      </c>
      <c r="G2709" t="s">
        <v>32</v>
      </c>
      <c r="H2709" t="s">
        <v>65</v>
      </c>
      <c r="I2709" t="s">
        <v>185</v>
      </c>
      <c r="J2709" t="s">
        <v>186</v>
      </c>
      <c r="K2709" t="s">
        <v>895</v>
      </c>
      <c r="M2709" s="1">
        <v>37803</v>
      </c>
      <c r="N2709">
        <v>2003</v>
      </c>
    </row>
    <row r="2710" spans="1:14">
      <c r="A2710" t="s">
        <v>14</v>
      </c>
      <c r="B2710" t="str">
        <f>"120408200300"</f>
        <v>120408200300</v>
      </c>
      <c r="C2710" t="s">
        <v>2084</v>
      </c>
      <c r="D2710" t="s">
        <v>184</v>
      </c>
      <c r="G2710" t="s">
        <v>32</v>
      </c>
      <c r="H2710" t="s">
        <v>65</v>
      </c>
      <c r="I2710" t="s">
        <v>185</v>
      </c>
      <c r="J2710" t="s">
        <v>186</v>
      </c>
      <c r="K2710" t="s">
        <v>895</v>
      </c>
      <c r="M2710" s="1">
        <v>37837</v>
      </c>
      <c r="N2710">
        <v>2003</v>
      </c>
    </row>
    <row r="2711" spans="1:14">
      <c r="A2711" t="s">
        <v>14</v>
      </c>
      <c r="B2711" t="str">
        <f>"111702200501"</f>
        <v>111702200501</v>
      </c>
      <c r="C2711" t="s">
        <v>546</v>
      </c>
      <c r="D2711" t="s">
        <v>259</v>
      </c>
      <c r="G2711" t="s">
        <v>17</v>
      </c>
      <c r="H2711" t="s">
        <v>39</v>
      </c>
      <c r="I2711" t="s">
        <v>185</v>
      </c>
      <c r="J2711" t="s">
        <v>186</v>
      </c>
      <c r="K2711" t="s">
        <v>187</v>
      </c>
      <c r="M2711" s="1">
        <v>38400</v>
      </c>
      <c r="N2711">
        <v>2005</v>
      </c>
    </row>
    <row r="2712" spans="1:14">
      <c r="A2712" t="s">
        <v>14</v>
      </c>
      <c r="B2712" t="str">
        <f>"110401200500"</f>
        <v>110401200500</v>
      </c>
      <c r="C2712" t="s">
        <v>683</v>
      </c>
      <c r="D2712" t="s">
        <v>209</v>
      </c>
      <c r="G2712" t="s">
        <v>17</v>
      </c>
      <c r="H2712" t="s">
        <v>39</v>
      </c>
      <c r="I2712" t="s">
        <v>185</v>
      </c>
      <c r="J2712" t="s">
        <v>186</v>
      </c>
      <c r="K2712" t="s">
        <v>187</v>
      </c>
      <c r="M2712" s="1">
        <v>38356</v>
      </c>
      <c r="N2712">
        <v>2005</v>
      </c>
    </row>
    <row r="2713" spans="1:14">
      <c r="A2713" t="s">
        <v>14</v>
      </c>
      <c r="B2713" t="str">
        <f>"111507200400"</f>
        <v>111507200400</v>
      </c>
      <c r="C2713" t="s">
        <v>843</v>
      </c>
      <c r="D2713" t="s">
        <v>53</v>
      </c>
      <c r="G2713" t="s">
        <v>17</v>
      </c>
      <c r="H2713" t="s">
        <v>39</v>
      </c>
      <c r="I2713" t="s">
        <v>185</v>
      </c>
      <c r="J2713" t="s">
        <v>186</v>
      </c>
      <c r="K2713" t="s">
        <v>187</v>
      </c>
      <c r="M2713" s="1">
        <v>38183</v>
      </c>
      <c r="N2713">
        <v>2004</v>
      </c>
    </row>
    <row r="2714" spans="1:14">
      <c r="A2714" t="s">
        <v>14</v>
      </c>
      <c r="B2714" t="str">
        <f>"112909200401"</f>
        <v>112909200401</v>
      </c>
      <c r="C2714" t="s">
        <v>910</v>
      </c>
      <c r="D2714" t="s">
        <v>115</v>
      </c>
      <c r="G2714" t="s">
        <v>17</v>
      </c>
      <c r="H2714" t="s">
        <v>39</v>
      </c>
      <c r="I2714" t="s">
        <v>185</v>
      </c>
      <c r="J2714" t="s">
        <v>186</v>
      </c>
      <c r="K2714" t="s">
        <v>187</v>
      </c>
      <c r="M2714" s="1">
        <v>38259</v>
      </c>
      <c r="N2714">
        <v>2004</v>
      </c>
    </row>
    <row r="2715" spans="1:14">
      <c r="A2715" t="s">
        <v>14</v>
      </c>
      <c r="B2715" t="str">
        <f>"111805200400"</f>
        <v>111805200400</v>
      </c>
      <c r="C2715" t="s">
        <v>929</v>
      </c>
      <c r="D2715" t="s">
        <v>373</v>
      </c>
      <c r="G2715" t="s">
        <v>17</v>
      </c>
      <c r="H2715" t="s">
        <v>39</v>
      </c>
      <c r="I2715" t="s">
        <v>185</v>
      </c>
      <c r="J2715" t="s">
        <v>186</v>
      </c>
      <c r="K2715" t="s">
        <v>187</v>
      </c>
      <c r="M2715" s="1">
        <v>38125</v>
      </c>
      <c r="N2715">
        <v>2004</v>
      </c>
    </row>
    <row r="2716" spans="1:14">
      <c r="A2716" t="s">
        <v>14</v>
      </c>
      <c r="B2716" t="str">
        <f>"112906200501"</f>
        <v>112906200501</v>
      </c>
      <c r="C2716" t="s">
        <v>1356</v>
      </c>
      <c r="D2716" t="s">
        <v>24</v>
      </c>
      <c r="G2716" t="s">
        <v>17</v>
      </c>
      <c r="H2716" t="s">
        <v>39</v>
      </c>
      <c r="I2716" t="s">
        <v>185</v>
      </c>
      <c r="J2716" t="s">
        <v>186</v>
      </c>
      <c r="K2716" t="s">
        <v>187</v>
      </c>
      <c r="M2716" s="1">
        <v>38532</v>
      </c>
      <c r="N2716">
        <v>2005</v>
      </c>
    </row>
    <row r="2717" spans="1:14">
      <c r="A2717" t="s">
        <v>14</v>
      </c>
      <c r="B2717" t="str">
        <f>"112505200400"</f>
        <v>112505200400</v>
      </c>
      <c r="C2717" t="s">
        <v>1475</v>
      </c>
      <c r="D2717" t="s">
        <v>373</v>
      </c>
      <c r="G2717" t="s">
        <v>17</v>
      </c>
      <c r="H2717" t="s">
        <v>39</v>
      </c>
      <c r="I2717" t="s">
        <v>185</v>
      </c>
      <c r="J2717" t="s">
        <v>186</v>
      </c>
      <c r="K2717" t="s">
        <v>187</v>
      </c>
      <c r="M2717" s="1">
        <v>38132</v>
      </c>
      <c r="N2717">
        <v>2004</v>
      </c>
    </row>
    <row r="2718" spans="1:14">
      <c r="A2718" t="s">
        <v>14</v>
      </c>
      <c r="B2718" t="str">
        <f>"110504200400"</f>
        <v>110504200400</v>
      </c>
      <c r="C2718" t="s">
        <v>1484</v>
      </c>
      <c r="D2718" t="s">
        <v>287</v>
      </c>
      <c r="G2718" t="s">
        <v>17</v>
      </c>
      <c r="H2718" t="s">
        <v>39</v>
      </c>
      <c r="I2718" t="s">
        <v>185</v>
      </c>
      <c r="J2718" t="s">
        <v>186</v>
      </c>
      <c r="K2718" t="s">
        <v>187</v>
      </c>
      <c r="M2718" s="1">
        <v>38082</v>
      </c>
      <c r="N2718">
        <v>2004</v>
      </c>
    </row>
    <row r="2719" spans="1:14">
      <c r="A2719" t="s">
        <v>14</v>
      </c>
      <c r="B2719" t="str">
        <f>"110403200400"</f>
        <v>110403200400</v>
      </c>
      <c r="C2719" t="s">
        <v>1604</v>
      </c>
      <c r="D2719" t="s">
        <v>24</v>
      </c>
      <c r="G2719" t="s">
        <v>17</v>
      </c>
      <c r="H2719" t="s">
        <v>39</v>
      </c>
      <c r="I2719" t="s">
        <v>185</v>
      </c>
      <c r="J2719" t="s">
        <v>186</v>
      </c>
      <c r="K2719" t="s">
        <v>187</v>
      </c>
      <c r="M2719" s="1">
        <v>38050</v>
      </c>
      <c r="N2719">
        <v>2004</v>
      </c>
    </row>
    <row r="2720" spans="1:14">
      <c r="A2720" t="s">
        <v>14</v>
      </c>
      <c r="B2720" t="str">
        <f>"111311200400"</f>
        <v>111311200400</v>
      </c>
      <c r="C2720" t="s">
        <v>1614</v>
      </c>
      <c r="D2720" t="s">
        <v>24</v>
      </c>
      <c r="G2720" t="s">
        <v>17</v>
      </c>
      <c r="H2720" t="s">
        <v>39</v>
      </c>
      <c r="I2720" t="s">
        <v>185</v>
      </c>
      <c r="J2720" t="s">
        <v>186</v>
      </c>
      <c r="K2720" t="s">
        <v>187</v>
      </c>
      <c r="M2720" s="1">
        <v>38304</v>
      </c>
      <c r="N2720">
        <v>2004</v>
      </c>
    </row>
    <row r="2721" spans="1:14">
      <c r="A2721" t="s">
        <v>14</v>
      </c>
      <c r="B2721" t="str">
        <f>"110402200500"</f>
        <v>110402200500</v>
      </c>
      <c r="C2721" t="s">
        <v>1858</v>
      </c>
      <c r="D2721" t="s">
        <v>155</v>
      </c>
      <c r="G2721" t="s">
        <v>17</v>
      </c>
      <c r="H2721" t="s">
        <v>39</v>
      </c>
      <c r="I2721" t="s">
        <v>185</v>
      </c>
      <c r="J2721" t="s">
        <v>186</v>
      </c>
      <c r="K2721" t="s">
        <v>187</v>
      </c>
      <c r="M2721" s="1">
        <v>38387</v>
      </c>
      <c r="N2721">
        <v>2005</v>
      </c>
    </row>
    <row r="2722" spans="1:14">
      <c r="A2722" t="s">
        <v>14</v>
      </c>
      <c r="B2722" t="str">
        <f>"112407200500"</f>
        <v>112407200500</v>
      </c>
      <c r="C2722" t="s">
        <v>1865</v>
      </c>
      <c r="D2722" t="s">
        <v>221</v>
      </c>
      <c r="G2722" t="s">
        <v>17</v>
      </c>
      <c r="H2722" t="s">
        <v>39</v>
      </c>
      <c r="I2722" t="s">
        <v>185</v>
      </c>
      <c r="J2722" t="s">
        <v>186</v>
      </c>
      <c r="K2722" t="s">
        <v>187</v>
      </c>
      <c r="M2722" s="1">
        <v>38557</v>
      </c>
      <c r="N2722">
        <v>2005</v>
      </c>
    </row>
    <row r="2723" spans="1:14">
      <c r="A2723" t="s">
        <v>14</v>
      </c>
      <c r="B2723" t="str">
        <f>"111903200500"</f>
        <v>111903200500</v>
      </c>
      <c r="C2723" t="s">
        <v>2083</v>
      </c>
      <c r="D2723" t="s">
        <v>283</v>
      </c>
      <c r="G2723" t="s">
        <v>17</v>
      </c>
      <c r="H2723" t="s">
        <v>39</v>
      </c>
      <c r="I2723" t="s">
        <v>185</v>
      </c>
      <c r="J2723" t="s">
        <v>186</v>
      </c>
      <c r="K2723" t="s">
        <v>187</v>
      </c>
      <c r="M2723" s="1">
        <v>38430</v>
      </c>
      <c r="N2723">
        <v>2005</v>
      </c>
    </row>
    <row r="2724" spans="1:14">
      <c r="A2724" t="s">
        <v>14</v>
      </c>
      <c r="B2724" t="str">
        <f>"111806200500"</f>
        <v>111806200500</v>
      </c>
      <c r="C2724" t="s">
        <v>2137</v>
      </c>
      <c r="D2724" t="s">
        <v>113</v>
      </c>
      <c r="G2724" t="s">
        <v>17</v>
      </c>
      <c r="H2724" t="s">
        <v>39</v>
      </c>
      <c r="I2724" t="s">
        <v>185</v>
      </c>
      <c r="J2724" t="s">
        <v>186</v>
      </c>
      <c r="K2724" t="s">
        <v>187</v>
      </c>
      <c r="M2724" s="1">
        <v>38521</v>
      </c>
      <c r="N2724">
        <v>2005</v>
      </c>
    </row>
    <row r="2725" spans="1:14">
      <c r="A2725" t="s">
        <v>14</v>
      </c>
      <c r="B2725" t="str">
        <f>"111405200401"</f>
        <v>111405200401</v>
      </c>
      <c r="C2725" t="s">
        <v>2402</v>
      </c>
      <c r="D2725" t="s">
        <v>89</v>
      </c>
      <c r="G2725" t="s">
        <v>17</v>
      </c>
      <c r="H2725" t="s">
        <v>39</v>
      </c>
      <c r="I2725" t="s">
        <v>185</v>
      </c>
      <c r="J2725" t="s">
        <v>186</v>
      </c>
      <c r="K2725" t="s">
        <v>187</v>
      </c>
      <c r="M2725" s="1">
        <v>38121</v>
      </c>
      <c r="N2725">
        <v>2004</v>
      </c>
    </row>
    <row r="2726" spans="1:14">
      <c r="A2726" t="s">
        <v>14</v>
      </c>
      <c r="B2726" t="str">
        <f>"111102200400"</f>
        <v>111102200400</v>
      </c>
      <c r="C2726" t="s">
        <v>2490</v>
      </c>
      <c r="D2726" t="s">
        <v>807</v>
      </c>
      <c r="G2726" t="s">
        <v>17</v>
      </c>
      <c r="H2726" t="s">
        <v>39</v>
      </c>
      <c r="I2726" t="s">
        <v>185</v>
      </c>
      <c r="J2726" t="s">
        <v>186</v>
      </c>
      <c r="K2726" t="s">
        <v>187</v>
      </c>
      <c r="M2726" s="1">
        <v>38028</v>
      </c>
      <c r="N2726">
        <v>2004</v>
      </c>
    </row>
    <row r="2727" spans="1:14">
      <c r="A2727" t="s">
        <v>14</v>
      </c>
      <c r="B2727" t="str">
        <f>"112103200400"</f>
        <v>112103200400</v>
      </c>
      <c r="C2727" t="s">
        <v>2859</v>
      </c>
      <c r="D2727" t="s">
        <v>50</v>
      </c>
      <c r="G2727" t="s">
        <v>17</v>
      </c>
      <c r="H2727" t="s">
        <v>39</v>
      </c>
      <c r="I2727" t="s">
        <v>185</v>
      </c>
      <c r="J2727" t="s">
        <v>186</v>
      </c>
      <c r="K2727" t="s">
        <v>187</v>
      </c>
      <c r="M2727" s="1">
        <v>38067</v>
      </c>
      <c r="N2727">
        <v>2004</v>
      </c>
    </row>
    <row r="2728" spans="1:14">
      <c r="A2728" t="s">
        <v>14</v>
      </c>
      <c r="B2728" t="str">
        <f>"110603200302"</f>
        <v>110603200302</v>
      </c>
      <c r="C2728" t="s">
        <v>971</v>
      </c>
      <c r="D2728" t="s">
        <v>209</v>
      </c>
      <c r="G2728" t="s">
        <v>17</v>
      </c>
      <c r="H2728" t="s">
        <v>51</v>
      </c>
      <c r="I2728" t="s">
        <v>185</v>
      </c>
      <c r="J2728" t="s">
        <v>186</v>
      </c>
      <c r="K2728" t="s">
        <v>895</v>
      </c>
      <c r="M2728" s="1">
        <v>37686</v>
      </c>
      <c r="N2728">
        <v>2003</v>
      </c>
    </row>
    <row r="2729" spans="1:14">
      <c r="A2729" t="s">
        <v>14</v>
      </c>
      <c r="B2729" t="str">
        <f>"112102200300"</f>
        <v>112102200300</v>
      </c>
      <c r="C2729" t="s">
        <v>1043</v>
      </c>
      <c r="D2729" t="s">
        <v>24</v>
      </c>
      <c r="G2729" t="s">
        <v>17</v>
      </c>
      <c r="H2729" t="s">
        <v>51</v>
      </c>
      <c r="I2729" t="s">
        <v>185</v>
      </c>
      <c r="J2729" t="s">
        <v>186</v>
      </c>
      <c r="K2729" t="s">
        <v>895</v>
      </c>
      <c r="M2729" s="1">
        <v>37673</v>
      </c>
      <c r="N2729">
        <v>2003</v>
      </c>
    </row>
    <row r="2730" spans="1:14">
      <c r="A2730" t="s">
        <v>14</v>
      </c>
      <c r="B2730" t="str">
        <f>"112604200301"</f>
        <v>112604200301</v>
      </c>
      <c r="C2730" t="s">
        <v>1519</v>
      </c>
      <c r="D2730" t="s">
        <v>259</v>
      </c>
      <c r="G2730" t="s">
        <v>17</v>
      </c>
      <c r="H2730" t="s">
        <v>51</v>
      </c>
      <c r="I2730" t="s">
        <v>185</v>
      </c>
      <c r="J2730" t="s">
        <v>186</v>
      </c>
      <c r="K2730" t="s">
        <v>1520</v>
      </c>
      <c r="M2730" s="1">
        <v>37737</v>
      </c>
      <c r="N2730">
        <v>2003</v>
      </c>
    </row>
  </sheetData>
  <sortState ref="A2:N2730">
    <sortCondition ref="I2:I2730"/>
    <sortCondition ref="G2:G2730"/>
    <sortCondition ref="H2:H27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Athlete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 Windows</cp:lastModifiedBy>
  <dcterms:created xsi:type="dcterms:W3CDTF">2020-10-09T11:04:02Z</dcterms:created>
  <dcterms:modified xsi:type="dcterms:W3CDTF">2020-10-09T11:08:18Z</dcterms:modified>
</cp:coreProperties>
</file>